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degraaf\AppData\Local\Microsoft\Windows\INetCache\Content.Outlook\ZNFWJPH6\"/>
    </mc:Choice>
  </mc:AlternateContent>
  <bookViews>
    <workbookView xWindow="28680" yWindow="-120" windowWidth="29040" windowHeight="15720" tabRatio="500"/>
  </bookViews>
  <sheets>
    <sheet name="Shoppable Services" sheetId="2" r:id="rId1"/>
  </sheets>
  <definedNames>
    <definedName name="_xlnm._FilterDatabase" localSheetId="0" hidden="1">'Shoppable Services'!$A$2:$BQ$302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4" i="2" l="1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3" i="2"/>
  <c r="F232" i="2"/>
  <c r="F229" i="2"/>
  <c r="F225" i="2"/>
  <c r="F224" i="2"/>
  <c r="F223" i="2"/>
  <c r="F221" i="2"/>
  <c r="F220" i="2"/>
  <c r="F219" i="2"/>
  <c r="F215" i="2"/>
  <c r="F214" i="2"/>
  <c r="F212" i="2"/>
  <c r="F211" i="2"/>
  <c r="V21" i="2"/>
  <c r="BM168" i="2"/>
  <c r="BM167" i="2"/>
  <c r="BM166" i="2"/>
  <c r="BM165" i="2"/>
  <c r="BM164" i="2"/>
  <c r="BM163" i="2"/>
  <c r="BM162" i="2"/>
  <c r="BM161" i="2"/>
  <c r="BM160" i="2"/>
  <c r="BM159" i="2"/>
  <c r="BM158" i="2"/>
  <c r="BM155" i="2"/>
  <c r="BM154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22" i="2" l="1"/>
  <c r="T23" i="2"/>
  <c r="T3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BM23" i="2" l="1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AT11" i="2"/>
  <c r="Z8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T10" i="2"/>
  <c r="T9" i="2"/>
  <c r="T8" i="2"/>
  <c r="T7" i="2"/>
  <c r="T6" i="2"/>
  <c r="T5" i="2"/>
  <c r="T4" i="2"/>
  <c r="T17" i="2"/>
  <c r="T16" i="2"/>
  <c r="T15" i="2"/>
  <c r="T14" i="2"/>
  <c r="T13" i="2"/>
  <c r="T12" i="2"/>
  <c r="T11" i="2"/>
  <c r="T18" i="2"/>
  <c r="T19" i="2"/>
  <c r="T20" i="2"/>
  <c r="T21" i="2"/>
  <c r="S11" i="2"/>
  <c r="S3" i="2"/>
  <c r="V23" i="2"/>
  <c r="V22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6" i="2"/>
  <c r="V5" i="2"/>
  <c r="V4" i="2"/>
  <c r="V3" i="2"/>
  <c r="T192" i="2" l="1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N288" i="2" l="1"/>
  <c r="N287" i="2"/>
  <c r="N284" i="2"/>
  <c r="N273" i="2"/>
  <c r="N271" i="2"/>
  <c r="N267" i="2"/>
  <c r="N266" i="2"/>
  <c r="N265" i="2"/>
  <c r="AV138" i="2"/>
  <c r="N138" i="2"/>
  <c r="BJ35" i="2"/>
  <c r="BJ34" i="2"/>
  <c r="BI35" i="2"/>
  <c r="BI34" i="2"/>
  <c r="N113" i="2"/>
  <c r="N34" i="2"/>
  <c r="J288" i="2"/>
  <c r="BL288" i="2"/>
  <c r="BK288" i="2"/>
  <c r="BH288" i="2"/>
  <c r="BG288" i="2"/>
  <c r="AY288" i="2"/>
  <c r="AX288" i="2"/>
  <c r="AW288" i="2"/>
  <c r="AV288" i="2"/>
  <c r="AM288" i="2"/>
  <c r="AL288" i="2"/>
  <c r="AH288" i="2"/>
  <c r="AG288" i="2"/>
  <c r="AF288" i="2"/>
  <c r="AE288" i="2"/>
  <c r="AD288" i="2"/>
  <c r="AC288" i="2"/>
  <c r="AB288" i="2"/>
  <c r="AA288" i="2"/>
  <c r="Y288" i="2"/>
  <c r="X288" i="2"/>
  <c r="W288" i="2"/>
  <c r="S288" i="2"/>
  <c r="R288" i="2"/>
  <c r="Q288" i="2"/>
  <c r="O288" i="2"/>
  <c r="BL287" i="2"/>
  <c r="BK287" i="2"/>
  <c r="BH287" i="2"/>
  <c r="BG287" i="2"/>
  <c r="AY287" i="2"/>
  <c r="AX287" i="2"/>
  <c r="AW287" i="2"/>
  <c r="AV287" i="2"/>
  <c r="AM287" i="2"/>
  <c r="AL287" i="2"/>
  <c r="AH287" i="2"/>
  <c r="AG287" i="2"/>
  <c r="AF287" i="2"/>
  <c r="AE287" i="2"/>
  <c r="AD287" i="2"/>
  <c r="AC287" i="2"/>
  <c r="AB287" i="2"/>
  <c r="AA287" i="2"/>
  <c r="Y287" i="2"/>
  <c r="X287" i="2"/>
  <c r="W287" i="2"/>
  <c r="S287" i="2"/>
  <c r="R287" i="2"/>
  <c r="Q287" i="2"/>
  <c r="O287" i="2"/>
  <c r="BL284" i="2"/>
  <c r="BK284" i="2"/>
  <c r="BH284" i="2"/>
  <c r="BG284" i="2"/>
  <c r="AY284" i="2"/>
  <c r="AX284" i="2"/>
  <c r="AW284" i="2"/>
  <c r="AV284" i="2"/>
  <c r="AM284" i="2"/>
  <c r="AL284" i="2"/>
  <c r="AH284" i="2"/>
  <c r="AG284" i="2"/>
  <c r="AF284" i="2"/>
  <c r="AE284" i="2"/>
  <c r="AD284" i="2"/>
  <c r="AC284" i="2"/>
  <c r="AB284" i="2"/>
  <c r="AA284" i="2"/>
  <c r="Y284" i="2"/>
  <c r="X284" i="2"/>
  <c r="W284" i="2"/>
  <c r="S284" i="2"/>
  <c r="R284" i="2"/>
  <c r="Q284" i="2"/>
  <c r="O284" i="2"/>
  <c r="BL273" i="2"/>
  <c r="BK273" i="2"/>
  <c r="BH273" i="2"/>
  <c r="BG273" i="2"/>
  <c r="AY273" i="2"/>
  <c r="AX273" i="2"/>
  <c r="AW273" i="2"/>
  <c r="AV273" i="2"/>
  <c r="AM273" i="2"/>
  <c r="AL273" i="2"/>
  <c r="AH273" i="2"/>
  <c r="AG273" i="2"/>
  <c r="AF273" i="2"/>
  <c r="AE273" i="2"/>
  <c r="AD273" i="2"/>
  <c r="AC273" i="2"/>
  <c r="AB273" i="2"/>
  <c r="AA273" i="2"/>
  <c r="Y273" i="2"/>
  <c r="X273" i="2"/>
  <c r="W273" i="2"/>
  <c r="S273" i="2"/>
  <c r="R273" i="2"/>
  <c r="Q273" i="2"/>
  <c r="O273" i="2"/>
  <c r="BL271" i="2"/>
  <c r="BK271" i="2"/>
  <c r="BH271" i="2"/>
  <c r="BG271" i="2"/>
  <c r="AY271" i="2"/>
  <c r="AX271" i="2"/>
  <c r="AW271" i="2"/>
  <c r="AV271" i="2"/>
  <c r="AM271" i="2"/>
  <c r="AL271" i="2"/>
  <c r="AH271" i="2"/>
  <c r="AG271" i="2"/>
  <c r="AF271" i="2"/>
  <c r="AE271" i="2"/>
  <c r="AD271" i="2"/>
  <c r="AC271" i="2"/>
  <c r="AB271" i="2"/>
  <c r="AA271" i="2"/>
  <c r="Y271" i="2"/>
  <c r="X271" i="2"/>
  <c r="W271" i="2"/>
  <c r="S271" i="2"/>
  <c r="R271" i="2"/>
  <c r="Q271" i="2"/>
  <c r="O271" i="2"/>
  <c r="BL267" i="2"/>
  <c r="BK267" i="2"/>
  <c r="BH267" i="2"/>
  <c r="BG267" i="2"/>
  <c r="AY267" i="2"/>
  <c r="AX267" i="2"/>
  <c r="AW267" i="2"/>
  <c r="AV267" i="2"/>
  <c r="AM267" i="2"/>
  <c r="AL267" i="2"/>
  <c r="AH267" i="2"/>
  <c r="AG267" i="2"/>
  <c r="AF267" i="2"/>
  <c r="AE267" i="2"/>
  <c r="AD267" i="2"/>
  <c r="AC267" i="2"/>
  <c r="AB267" i="2"/>
  <c r="AA267" i="2"/>
  <c r="Y267" i="2"/>
  <c r="X267" i="2"/>
  <c r="W267" i="2"/>
  <c r="S267" i="2"/>
  <c r="R267" i="2"/>
  <c r="Q267" i="2"/>
  <c r="O267" i="2"/>
  <c r="BL266" i="2"/>
  <c r="BK266" i="2"/>
  <c r="BH266" i="2"/>
  <c r="BG266" i="2"/>
  <c r="AY266" i="2"/>
  <c r="AX266" i="2"/>
  <c r="AW266" i="2"/>
  <c r="AV266" i="2"/>
  <c r="AM266" i="2"/>
  <c r="AL266" i="2"/>
  <c r="AH266" i="2"/>
  <c r="AG266" i="2"/>
  <c r="AF266" i="2"/>
  <c r="AE266" i="2"/>
  <c r="AD266" i="2"/>
  <c r="AC266" i="2"/>
  <c r="AB266" i="2"/>
  <c r="AA266" i="2"/>
  <c r="Y266" i="2"/>
  <c r="X266" i="2"/>
  <c r="W266" i="2"/>
  <c r="S266" i="2"/>
  <c r="R266" i="2"/>
  <c r="Q266" i="2"/>
  <c r="O266" i="2"/>
  <c r="BL265" i="2"/>
  <c r="BK265" i="2"/>
  <c r="BH265" i="2"/>
  <c r="BG265" i="2"/>
  <c r="AY265" i="2"/>
  <c r="AX265" i="2"/>
  <c r="AW265" i="2"/>
  <c r="AV265" i="2"/>
  <c r="AM265" i="2"/>
  <c r="AL265" i="2"/>
  <c r="AH265" i="2"/>
  <c r="AG265" i="2"/>
  <c r="AF265" i="2"/>
  <c r="AE265" i="2"/>
  <c r="AD265" i="2"/>
  <c r="AC265" i="2"/>
  <c r="AB265" i="2"/>
  <c r="AA265" i="2"/>
  <c r="Y265" i="2"/>
  <c r="X265" i="2"/>
  <c r="W265" i="2"/>
  <c r="S265" i="2"/>
  <c r="R265" i="2"/>
  <c r="Q265" i="2"/>
  <c r="O265" i="2"/>
  <c r="J265" i="2"/>
  <c r="BN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T113" i="2"/>
  <c r="AS113" i="2"/>
  <c r="AR113" i="2"/>
  <c r="AQ113" i="2"/>
  <c r="AP113" i="2"/>
  <c r="AO113" i="2"/>
  <c r="AN113" i="2"/>
  <c r="AM113" i="2"/>
  <c r="AL113" i="2"/>
  <c r="AK113" i="2"/>
  <c r="AI113" i="2"/>
  <c r="AH113" i="2"/>
  <c r="AG113" i="2"/>
  <c r="AF113" i="2"/>
  <c r="AE113" i="2"/>
  <c r="AD113" i="2"/>
  <c r="AC113" i="2"/>
  <c r="AB113" i="2"/>
  <c r="AA113" i="2"/>
  <c r="Y113" i="2"/>
  <c r="X113" i="2"/>
  <c r="W113" i="2"/>
  <c r="S113" i="2"/>
  <c r="R113" i="2"/>
  <c r="Q113" i="2"/>
  <c r="P113" i="2"/>
  <c r="O113" i="2"/>
  <c r="J113" i="2"/>
  <c r="J27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15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3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D246" i="2"/>
  <c r="BD247" i="2"/>
  <c r="BD248" i="2"/>
  <c r="BD249" i="2"/>
  <c r="BD250" i="2"/>
  <c r="BD251" i="2"/>
  <c r="BD252" i="2"/>
  <c r="BD253" i="2"/>
  <c r="BD254" i="2"/>
  <c r="BD255" i="2"/>
  <c r="BD256" i="2"/>
  <c r="BD257" i="2"/>
  <c r="BD258" i="2"/>
  <c r="BD259" i="2"/>
  <c r="BD260" i="2"/>
  <c r="BD261" i="2"/>
  <c r="BD262" i="2"/>
  <c r="BD263" i="2"/>
  <c r="BD264" i="2"/>
  <c r="BD243" i="2"/>
  <c r="BD244" i="2"/>
  <c r="BD245" i="2"/>
  <c r="BD234" i="2"/>
  <c r="BD235" i="2"/>
  <c r="BD236" i="2"/>
  <c r="BD237" i="2"/>
  <c r="BD238" i="2"/>
  <c r="BD239" i="2"/>
  <c r="BD240" i="2"/>
  <c r="BD241" i="2"/>
  <c r="BD242" i="2"/>
  <c r="BD209" i="2"/>
  <c r="BD210" i="2"/>
  <c r="BD211" i="2"/>
  <c r="BD212" i="2"/>
  <c r="BD213" i="2"/>
  <c r="BD214" i="2"/>
  <c r="BD215" i="2"/>
  <c r="BD216" i="2"/>
  <c r="BD217" i="2"/>
  <c r="BD218" i="2"/>
  <c r="BD219" i="2"/>
  <c r="BD220" i="2"/>
  <c r="BD221" i="2"/>
  <c r="BD222" i="2"/>
  <c r="BD223" i="2"/>
  <c r="BD224" i="2"/>
  <c r="BD225" i="2"/>
  <c r="BD226" i="2"/>
  <c r="BD227" i="2"/>
  <c r="BD228" i="2"/>
  <c r="BD229" i="2"/>
  <c r="BD230" i="2"/>
  <c r="BD231" i="2"/>
  <c r="BD232" i="2"/>
  <c r="BD233" i="2"/>
  <c r="BD195" i="2"/>
  <c r="BD196" i="2"/>
  <c r="BD197" i="2"/>
  <c r="BD198" i="2"/>
  <c r="BD199" i="2"/>
  <c r="BD200" i="2"/>
  <c r="BD201" i="2"/>
  <c r="BD202" i="2"/>
  <c r="BD203" i="2"/>
  <c r="BD204" i="2"/>
  <c r="BD205" i="2"/>
  <c r="BD206" i="2"/>
  <c r="BD207" i="2"/>
  <c r="BD208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54" i="2"/>
  <c r="BC155" i="2"/>
  <c r="BC156" i="2"/>
  <c r="BC157" i="2"/>
  <c r="BC158" i="2"/>
  <c r="BC159" i="2"/>
  <c r="BC160" i="2"/>
  <c r="BC161" i="2"/>
  <c r="BC162" i="2"/>
  <c r="BC163" i="2"/>
  <c r="BC164" i="2"/>
  <c r="BC165" i="2"/>
  <c r="BC166" i="2"/>
  <c r="BC167" i="2"/>
  <c r="BC168" i="2"/>
  <c r="BC169" i="2"/>
  <c r="BC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C190" i="2"/>
  <c r="BC191" i="2"/>
  <c r="BC192" i="2"/>
  <c r="BC193" i="2"/>
  <c r="BC194" i="2"/>
  <c r="BC195" i="2"/>
  <c r="BC196" i="2"/>
  <c r="BC197" i="2"/>
  <c r="BC198" i="2"/>
  <c r="BC199" i="2"/>
  <c r="BC200" i="2"/>
  <c r="BC201" i="2"/>
  <c r="BC202" i="2"/>
  <c r="BC203" i="2"/>
  <c r="BC204" i="2"/>
  <c r="BC205" i="2"/>
  <c r="BC206" i="2"/>
  <c r="BC207" i="2"/>
  <c r="BC208" i="2"/>
  <c r="BC209" i="2"/>
  <c r="BC210" i="2"/>
  <c r="BC211" i="2"/>
  <c r="BC212" i="2"/>
  <c r="BC213" i="2"/>
  <c r="BC214" i="2"/>
  <c r="BC215" i="2"/>
  <c r="BC216" i="2"/>
  <c r="BC217" i="2"/>
  <c r="BC218" i="2"/>
  <c r="BC219" i="2"/>
  <c r="BC220" i="2"/>
  <c r="BC221" i="2"/>
  <c r="BC222" i="2"/>
  <c r="BC223" i="2"/>
  <c r="BC224" i="2"/>
  <c r="BC225" i="2"/>
  <c r="BC226" i="2"/>
  <c r="BC227" i="2"/>
  <c r="BC228" i="2"/>
  <c r="BC229" i="2"/>
  <c r="BC230" i="2"/>
  <c r="BC231" i="2"/>
  <c r="BC232" i="2"/>
  <c r="BC233" i="2"/>
  <c r="BC234" i="2"/>
  <c r="BC235" i="2"/>
  <c r="BP235" i="2" s="1"/>
  <c r="BC236" i="2"/>
  <c r="BC237" i="2"/>
  <c r="BC238" i="2"/>
  <c r="BC239" i="2"/>
  <c r="BO239" i="2" s="1"/>
  <c r="BC240" i="2"/>
  <c r="BC241" i="2"/>
  <c r="BC242" i="2"/>
  <c r="BC243" i="2"/>
  <c r="BC244" i="2"/>
  <c r="BC245" i="2"/>
  <c r="BC246" i="2"/>
  <c r="BC247" i="2"/>
  <c r="BC248" i="2"/>
  <c r="BC249" i="2"/>
  <c r="BC250" i="2"/>
  <c r="BC251" i="2"/>
  <c r="BC252" i="2"/>
  <c r="BC253" i="2"/>
  <c r="BC254" i="2"/>
  <c r="BC255" i="2"/>
  <c r="BC256" i="2"/>
  <c r="BC257" i="2"/>
  <c r="BC258" i="2"/>
  <c r="BC259" i="2"/>
  <c r="BC260" i="2"/>
  <c r="BC261" i="2"/>
  <c r="BC262" i="2"/>
  <c r="BC263" i="2"/>
  <c r="BC264" i="2"/>
  <c r="BC15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3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3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E33" i="2"/>
  <c r="BE32" i="2"/>
  <c r="BE31" i="2"/>
  <c r="BE30" i="2"/>
  <c r="BE29" i="2"/>
  <c r="BE28" i="2"/>
  <c r="BE27" i="2"/>
  <c r="BE26" i="2"/>
  <c r="BE25" i="2"/>
  <c r="BE24" i="2"/>
  <c r="BD33" i="2"/>
  <c r="BD32" i="2"/>
  <c r="BD31" i="2"/>
  <c r="BD30" i="2"/>
  <c r="BD29" i="2"/>
  <c r="BD28" i="2"/>
  <c r="BD27" i="2"/>
  <c r="BD26" i="2"/>
  <c r="BD25" i="2"/>
  <c r="BD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  <c r="BE4" i="2"/>
  <c r="BE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3" i="2"/>
  <c r="BC33" i="2"/>
  <c r="BC32" i="2"/>
  <c r="BC31" i="2"/>
  <c r="BC30" i="2"/>
  <c r="BC29" i="2"/>
  <c r="BC28" i="2"/>
  <c r="BC27" i="2"/>
  <c r="BC26" i="2"/>
  <c r="BC25" i="2"/>
  <c r="BC24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3" i="2"/>
  <c r="N262" i="2"/>
  <c r="O262" i="2"/>
  <c r="P262" i="2"/>
  <c r="S262" i="2"/>
  <c r="V262" i="2"/>
  <c r="W262" i="2"/>
  <c r="X262" i="2"/>
  <c r="Y262" i="2"/>
  <c r="AA262" i="2"/>
  <c r="AB262" i="2"/>
  <c r="AE262" i="2"/>
  <c r="AF262" i="2"/>
  <c r="AI262" i="2"/>
  <c r="AJ262" i="2"/>
  <c r="AK262" i="2"/>
  <c r="AL262" i="2"/>
  <c r="AM262" i="2"/>
  <c r="AN262" i="2"/>
  <c r="AO262" i="2"/>
  <c r="AP262" i="2"/>
  <c r="AQ262" i="2"/>
  <c r="AS262" i="2"/>
  <c r="AT262" i="2"/>
  <c r="AV262" i="2"/>
  <c r="AW262" i="2"/>
  <c r="AX262" i="2"/>
  <c r="AY262" i="2"/>
  <c r="BI262" i="2"/>
  <c r="BJ262" i="2"/>
  <c r="BK262" i="2"/>
  <c r="BL262" i="2"/>
  <c r="BM262" i="2"/>
  <c r="BN262" i="2"/>
  <c r="AH116" i="2"/>
  <c r="BM206" i="2"/>
  <c r="BM208" i="2"/>
  <c r="BM207" i="2"/>
  <c r="BM205" i="2"/>
  <c r="BM204" i="2"/>
  <c r="BM203" i="2"/>
  <c r="BM202" i="2"/>
  <c r="BM200" i="2"/>
  <c r="BM199" i="2"/>
  <c r="BM198" i="2"/>
  <c r="BM197" i="2"/>
  <c r="BM196" i="2"/>
  <c r="BM201" i="2"/>
  <c r="BM195" i="2"/>
  <c r="BM192" i="2"/>
  <c r="BM191" i="2"/>
  <c r="BM190" i="2"/>
  <c r="BM189" i="2"/>
  <c r="BM188" i="2"/>
  <c r="BM187" i="2"/>
  <c r="BM186" i="2"/>
  <c r="BM185" i="2"/>
  <c r="BM184" i="2"/>
  <c r="BM183" i="2"/>
  <c r="BM182" i="2"/>
  <c r="BM181" i="2"/>
  <c r="BM180" i="2"/>
  <c r="BM179" i="2"/>
  <c r="BM178" i="2"/>
  <c r="BM177" i="2"/>
  <c r="BM176" i="2"/>
  <c r="BM175" i="2"/>
  <c r="BM174" i="2"/>
  <c r="BM173" i="2"/>
  <c r="BM172" i="2"/>
  <c r="BM171" i="2"/>
  <c r="BM170" i="2"/>
  <c r="BM169" i="2"/>
  <c r="BM157" i="2"/>
  <c r="BM156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3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3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V34" i="2"/>
  <c r="BB111" i="2"/>
  <c r="BB110" i="2"/>
  <c r="BB109" i="2"/>
  <c r="BB108" i="2"/>
  <c r="BB107" i="2"/>
  <c r="BB106" i="2"/>
  <c r="BB105" i="2"/>
  <c r="BB104" i="2"/>
  <c r="BB103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3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3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AJ264" i="2"/>
  <c r="AJ263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I264" i="2"/>
  <c r="AI263" i="2"/>
  <c r="AI261" i="2"/>
  <c r="AI260" i="2"/>
  <c r="AI259" i="2"/>
  <c r="AI258" i="2"/>
  <c r="AI257" i="2"/>
  <c r="AI256" i="2"/>
  <c r="AI255" i="2"/>
  <c r="AI254" i="2"/>
  <c r="AI253" i="2"/>
  <c r="AI252" i="2"/>
  <c r="AI251" i="2"/>
  <c r="AI250" i="2"/>
  <c r="AI249" i="2"/>
  <c r="AI248" i="2"/>
  <c r="AI247" i="2"/>
  <c r="AI246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195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I77" i="2"/>
  <c r="AI78" i="2"/>
  <c r="AI79" i="2"/>
  <c r="AI80" i="2"/>
  <c r="AI81" i="2"/>
  <c r="AI83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35" i="2"/>
  <c r="AA21" i="2"/>
  <c r="AA9" i="2"/>
  <c r="AA8" i="2"/>
  <c r="AA7" i="2"/>
  <c r="AA23" i="2"/>
  <c r="AA22" i="2"/>
  <c r="AA20" i="2"/>
  <c r="AA19" i="2"/>
  <c r="AA18" i="2"/>
  <c r="AA17" i="2"/>
  <c r="AA16" i="2"/>
  <c r="AA15" i="2"/>
  <c r="AA14" i="2"/>
  <c r="AA13" i="2"/>
  <c r="AA12" i="2"/>
  <c r="AA11" i="2"/>
  <c r="AA10" i="2"/>
  <c r="AA6" i="2"/>
  <c r="AA5" i="2"/>
  <c r="AA4" i="2"/>
  <c r="AA3" i="2"/>
  <c r="Z199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55" i="2"/>
  <c r="Z15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7" i="2"/>
  <c r="Z6" i="2"/>
  <c r="Z5" i="2"/>
  <c r="Z4" i="2"/>
  <c r="Z3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3" i="2"/>
  <c r="X264" i="2"/>
  <c r="X247" i="2"/>
  <c r="X248" i="2"/>
  <c r="X24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196" i="2"/>
  <c r="X195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68" i="2"/>
  <c r="X169" i="2"/>
  <c r="X170" i="2"/>
  <c r="X171" i="2"/>
  <c r="X172" i="2"/>
  <c r="X173" i="2"/>
  <c r="X174" i="2"/>
  <c r="X167" i="2"/>
  <c r="X165" i="2"/>
  <c r="X166" i="2"/>
  <c r="X160" i="2"/>
  <c r="X161" i="2"/>
  <c r="X162" i="2"/>
  <c r="X163" i="2"/>
  <c r="X164" i="2"/>
  <c r="X159" i="2"/>
  <c r="X158" i="2"/>
  <c r="X156" i="2"/>
  <c r="X157" i="2"/>
  <c r="X155" i="2"/>
  <c r="X154" i="2"/>
  <c r="V264" i="2"/>
  <c r="V263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0" i="2"/>
  <c r="V218" i="2"/>
  <c r="V217" i="2"/>
  <c r="V216" i="2"/>
  <c r="V221" i="2"/>
  <c r="V219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70" i="2"/>
  <c r="V62" i="2"/>
  <c r="V61" i="2"/>
  <c r="V60" i="2"/>
  <c r="V59" i="2"/>
  <c r="V58" i="2"/>
  <c r="V57" i="2"/>
  <c r="V56" i="2"/>
  <c r="V48" i="2"/>
  <c r="V37" i="2"/>
  <c r="T259" i="2"/>
  <c r="T256" i="2"/>
  <c r="T251" i="2"/>
  <c r="T246" i="2"/>
  <c r="T223" i="2"/>
  <c r="T208" i="2"/>
  <c r="T207" i="2"/>
  <c r="T206" i="2"/>
  <c r="T202" i="2"/>
  <c r="T201" i="2"/>
  <c r="T197" i="2"/>
  <c r="T196" i="2"/>
  <c r="P264" i="2"/>
  <c r="P263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12" i="2"/>
  <c r="P213" i="2"/>
  <c r="P214" i="2"/>
  <c r="P215" i="2"/>
  <c r="P210" i="2"/>
  <c r="P211" i="2"/>
  <c r="P209" i="2"/>
  <c r="P205" i="2"/>
  <c r="P204" i="2"/>
  <c r="P200" i="2"/>
  <c r="P199" i="2"/>
  <c r="P198" i="2"/>
  <c r="P196" i="2"/>
  <c r="P195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6" i="2"/>
  <c r="P155" i="2"/>
  <c r="P156" i="2"/>
  <c r="P157" i="2"/>
  <c r="P158" i="2"/>
  <c r="P159" i="2"/>
  <c r="P160" i="2"/>
  <c r="P161" i="2"/>
  <c r="P162" i="2"/>
  <c r="P163" i="2"/>
  <c r="P164" i="2"/>
  <c r="P165" i="2"/>
  <c r="P167" i="2"/>
  <c r="P154" i="2"/>
  <c r="P35" i="2"/>
  <c r="P34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5" i="2"/>
  <c r="P6" i="2"/>
  <c r="P4" i="2"/>
  <c r="P3" i="2"/>
  <c r="N264" i="2"/>
  <c r="N263" i="2"/>
  <c r="N261" i="2"/>
  <c r="N260" i="2"/>
  <c r="N259" i="2"/>
  <c r="N257" i="2"/>
  <c r="N256" i="2"/>
  <c r="N255" i="2"/>
  <c r="N254" i="2"/>
  <c r="BM254" i="2" s="1"/>
  <c r="N252" i="2"/>
  <c r="N250" i="2"/>
  <c r="N249" i="2"/>
  <c r="BM249" i="2" s="1"/>
  <c r="N248" i="2"/>
  <c r="BM248" i="2" s="1"/>
  <c r="N247" i="2"/>
  <c r="N246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BP153" i="2" s="1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7" i="2"/>
  <c r="N136" i="2"/>
  <c r="N135" i="2"/>
  <c r="N134" i="2"/>
  <c r="N133" i="2"/>
  <c r="BP133" i="2" s="1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3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J289" i="2"/>
  <c r="J141" i="2"/>
  <c r="H195" i="2"/>
  <c r="J128" i="2"/>
  <c r="O128" i="2"/>
  <c r="Q128" i="2"/>
  <c r="R128" i="2"/>
  <c r="S128" i="2"/>
  <c r="W128" i="2"/>
  <c r="X128" i="2"/>
  <c r="Y128" i="2"/>
  <c r="AA128" i="2"/>
  <c r="AB128" i="2"/>
  <c r="AC128" i="2"/>
  <c r="AD128" i="2"/>
  <c r="AE128" i="2"/>
  <c r="AF128" i="2"/>
  <c r="AG128" i="2"/>
  <c r="AH128" i="2"/>
  <c r="AL128" i="2"/>
  <c r="AM128" i="2"/>
  <c r="AV128" i="2"/>
  <c r="AW128" i="2"/>
  <c r="AX128" i="2"/>
  <c r="AY128" i="2"/>
  <c r="BO128" i="2" s="1"/>
  <c r="BG128" i="2"/>
  <c r="BH128" i="2"/>
  <c r="BK128" i="2"/>
  <c r="BL128" i="2"/>
  <c r="BO290" i="2"/>
  <c r="BP114" i="2"/>
  <c r="BO114" i="2"/>
  <c r="BP112" i="2"/>
  <c r="BO112" i="2"/>
  <c r="BP242" i="2"/>
  <c r="BP302" i="2"/>
  <c r="BO302" i="2"/>
  <c r="BP301" i="2"/>
  <c r="BO301" i="2"/>
  <c r="BP300" i="2"/>
  <c r="BO300" i="2"/>
  <c r="BP299" i="2"/>
  <c r="BO299" i="2"/>
  <c r="BP298" i="2"/>
  <c r="BO298" i="2"/>
  <c r="BP297" i="2"/>
  <c r="BO297" i="2"/>
  <c r="BP296" i="2"/>
  <c r="BO296" i="2"/>
  <c r="BP295" i="2"/>
  <c r="BO295" i="2"/>
  <c r="BP294" i="2"/>
  <c r="BO294" i="2"/>
  <c r="BP293" i="2"/>
  <c r="BO293" i="2"/>
  <c r="BP292" i="2"/>
  <c r="BO292" i="2"/>
  <c r="BP291" i="2"/>
  <c r="BO291" i="2"/>
  <c r="BP290" i="2"/>
  <c r="BM264" i="2"/>
  <c r="BM263" i="2"/>
  <c r="BM261" i="2"/>
  <c r="BM260" i="2"/>
  <c r="BM259" i="2"/>
  <c r="BM257" i="2"/>
  <c r="BM256" i="2"/>
  <c r="BM255" i="2"/>
  <c r="BM253" i="2"/>
  <c r="BN252" i="2"/>
  <c r="BM252" i="2"/>
  <c r="BM251" i="2"/>
  <c r="BM250" i="2"/>
  <c r="BM247" i="2"/>
  <c r="BM246" i="2"/>
  <c r="AO202" i="2"/>
  <c r="AN202" i="2"/>
  <c r="F156" i="2"/>
  <c r="AH156" i="2" s="1"/>
  <c r="F158" i="2"/>
  <c r="AV147" i="2"/>
  <c r="AV146" i="2"/>
  <c r="AV144" i="2"/>
  <c r="AV129" i="2"/>
  <c r="AT35" i="2"/>
  <c r="AR35" i="2"/>
  <c r="AR34" i="2"/>
  <c r="AT195" i="2"/>
  <c r="AK111" i="2"/>
  <c r="AK110" i="2"/>
  <c r="AK109" i="2"/>
  <c r="AK108" i="2"/>
  <c r="AK107" i="2"/>
  <c r="AK106" i="2"/>
  <c r="AK105" i="2"/>
  <c r="AK104" i="2"/>
  <c r="AK103" i="2"/>
  <c r="AK102" i="2"/>
  <c r="AK101" i="2"/>
  <c r="AK100" i="2"/>
  <c r="AK99" i="2"/>
  <c r="AK98" i="2"/>
  <c r="AK97" i="2"/>
  <c r="AK96" i="2"/>
  <c r="AK95" i="2"/>
  <c r="AK94" i="2"/>
  <c r="AK93" i="2"/>
  <c r="AK92" i="2"/>
  <c r="AK91" i="2"/>
  <c r="AK90" i="2"/>
  <c r="AK89" i="2"/>
  <c r="AK88" i="2"/>
  <c r="AK87" i="2"/>
  <c r="AK86" i="2"/>
  <c r="AK85" i="2"/>
  <c r="AK83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AK233" i="2"/>
  <c r="AK264" i="2"/>
  <c r="AK232" i="2"/>
  <c r="AK231" i="2"/>
  <c r="AK230" i="2"/>
  <c r="AK229" i="2"/>
  <c r="AK263" i="2"/>
  <c r="AK228" i="2"/>
  <c r="AK227" i="2"/>
  <c r="AK226" i="2"/>
  <c r="AK225" i="2"/>
  <c r="AK224" i="2"/>
  <c r="AK261" i="2"/>
  <c r="AK260" i="2"/>
  <c r="AK223" i="2"/>
  <c r="AK259" i="2"/>
  <c r="AK258" i="2"/>
  <c r="AK257" i="2"/>
  <c r="AK222" i="2"/>
  <c r="AK256" i="2"/>
  <c r="AK255" i="2"/>
  <c r="AK254" i="2"/>
  <c r="AK221" i="2"/>
  <c r="AK220" i="2"/>
  <c r="AK219" i="2"/>
  <c r="AK253" i="2"/>
  <c r="AK218" i="2"/>
  <c r="AK252" i="2"/>
  <c r="AK217" i="2"/>
  <c r="AK251" i="2"/>
  <c r="AK216" i="2"/>
  <c r="AK215" i="2"/>
  <c r="AK250" i="2"/>
  <c r="AK249" i="2"/>
  <c r="AK214" i="2"/>
  <c r="AK213" i="2"/>
  <c r="AK248" i="2"/>
  <c r="AK247" i="2"/>
  <c r="AK246" i="2"/>
  <c r="AK212" i="2"/>
  <c r="AK211" i="2"/>
  <c r="AK210" i="2"/>
  <c r="AK209" i="2"/>
  <c r="AK192" i="2"/>
  <c r="AK191" i="2"/>
  <c r="AK190" i="2"/>
  <c r="AK189" i="2"/>
  <c r="AK188" i="2"/>
  <c r="AK187" i="2"/>
  <c r="AK186" i="2"/>
  <c r="AK185" i="2"/>
  <c r="AK208" i="2"/>
  <c r="AK184" i="2"/>
  <c r="AK183" i="2"/>
  <c r="AK182" i="2"/>
  <c r="AK181" i="2"/>
  <c r="AK180" i="2"/>
  <c r="AK179" i="2"/>
  <c r="AK207" i="2"/>
  <c r="AK206" i="2"/>
  <c r="AK205" i="2"/>
  <c r="AK178" i="2"/>
  <c r="AK204" i="2"/>
  <c r="AK203" i="2"/>
  <c r="AK177" i="2"/>
  <c r="AK176" i="2"/>
  <c r="AK175" i="2"/>
  <c r="AK174" i="2"/>
  <c r="AK173" i="2"/>
  <c r="AK172" i="2"/>
  <c r="AK171" i="2"/>
  <c r="AK170" i="2"/>
  <c r="AK169" i="2"/>
  <c r="AK168" i="2"/>
  <c r="AK202" i="2"/>
  <c r="AK167" i="2"/>
  <c r="AK166" i="2"/>
  <c r="AK165" i="2"/>
  <c r="AK164" i="2"/>
  <c r="AK163" i="2"/>
  <c r="AK162" i="2"/>
  <c r="AK161" i="2"/>
  <c r="AK160" i="2"/>
  <c r="AK159" i="2"/>
  <c r="AK158" i="2"/>
  <c r="AK157" i="2"/>
  <c r="AK201" i="2"/>
  <c r="AK156" i="2"/>
  <c r="AK200" i="2"/>
  <c r="AK199" i="2"/>
  <c r="AK155" i="2"/>
  <c r="AK198" i="2"/>
  <c r="AK154" i="2"/>
  <c r="AK197" i="2"/>
  <c r="AK196" i="2"/>
  <c r="AK195" i="2"/>
  <c r="BP289" i="2"/>
  <c r="AS233" i="2"/>
  <c r="AS264" i="2"/>
  <c r="AS232" i="2"/>
  <c r="AS231" i="2"/>
  <c r="AS230" i="2"/>
  <c r="AS229" i="2"/>
  <c r="AS263" i="2"/>
  <c r="AS228" i="2"/>
  <c r="AS227" i="2"/>
  <c r="AS226" i="2"/>
  <c r="AS225" i="2"/>
  <c r="AS224" i="2"/>
  <c r="AS261" i="2"/>
  <c r="AS260" i="2"/>
  <c r="AS223" i="2"/>
  <c r="AS259" i="2"/>
  <c r="AS258" i="2"/>
  <c r="AS257" i="2"/>
  <c r="AS222" i="2"/>
  <c r="AS256" i="2"/>
  <c r="AS254" i="2"/>
  <c r="AS255" i="2"/>
  <c r="AS221" i="2"/>
  <c r="AS220" i="2"/>
  <c r="AS219" i="2"/>
  <c r="AS218" i="2"/>
  <c r="AS253" i="2"/>
  <c r="AS252" i="2"/>
  <c r="AS217" i="2"/>
  <c r="AS251" i="2"/>
  <c r="AS216" i="2"/>
  <c r="AS215" i="2"/>
  <c r="AS250" i="2"/>
  <c r="AS249" i="2"/>
  <c r="AS214" i="2"/>
  <c r="AS213" i="2"/>
  <c r="AS248" i="2"/>
  <c r="AS247" i="2"/>
  <c r="AS246" i="2"/>
  <c r="AS212" i="2"/>
  <c r="AS211" i="2"/>
  <c r="AS210" i="2"/>
  <c r="AS209" i="2"/>
  <c r="AV23" i="2"/>
  <c r="AS22" i="2"/>
  <c r="AV21" i="2"/>
  <c r="AV20" i="2"/>
  <c r="AS19" i="2"/>
  <c r="AV18" i="2"/>
  <c r="AS17" i="2"/>
  <c r="AV16" i="2"/>
  <c r="AS15" i="2"/>
  <c r="AV14" i="2"/>
  <c r="AS13" i="2"/>
  <c r="AS12" i="2"/>
  <c r="AS11" i="2"/>
  <c r="AV10" i="2"/>
  <c r="AS9" i="2"/>
  <c r="AV8" i="2"/>
  <c r="AS7" i="2"/>
  <c r="AS5" i="2"/>
  <c r="AV4" i="2"/>
  <c r="AH125" i="2"/>
  <c r="AH119" i="2"/>
  <c r="AH115" i="2"/>
  <c r="BF104" i="2"/>
  <c r="AR64" i="2"/>
  <c r="AH147" i="2"/>
  <c r="AH146" i="2"/>
  <c r="AH145" i="2"/>
  <c r="BP145" i="2" s="1"/>
  <c r="AH141" i="2"/>
  <c r="AH140" i="2"/>
  <c r="BP140" i="2" s="1"/>
  <c r="BF97" i="2"/>
  <c r="BF95" i="2"/>
  <c r="BF94" i="2"/>
  <c r="BF92" i="2"/>
  <c r="BF91" i="2"/>
  <c r="AR90" i="2"/>
  <c r="AR89" i="2"/>
  <c r="BF87" i="2"/>
  <c r="BF85" i="2"/>
  <c r="AR81" i="2"/>
  <c r="BF74" i="2"/>
  <c r="BF73" i="2"/>
  <c r="BF71" i="2"/>
  <c r="AR67" i="2"/>
  <c r="BF63" i="2"/>
  <c r="AR62" i="2"/>
  <c r="BF59" i="2"/>
  <c r="BF58" i="2"/>
  <c r="AR55" i="2"/>
  <c r="BF54" i="2"/>
  <c r="AR52" i="2"/>
  <c r="AR51" i="2"/>
  <c r="BF50" i="2"/>
  <c r="BF47" i="2"/>
  <c r="BF45" i="2"/>
  <c r="BF36" i="2"/>
  <c r="BP281" i="2"/>
  <c r="BP282" i="2"/>
  <c r="BP283" i="2"/>
  <c r="BP285" i="2"/>
  <c r="BP286" i="2"/>
  <c r="BO280" i="2"/>
  <c r="BO281" i="2"/>
  <c r="BO282" i="2"/>
  <c r="BO283" i="2"/>
  <c r="BO285" i="2"/>
  <c r="BO286" i="2"/>
  <c r="J35" i="2"/>
  <c r="Z231" i="2"/>
  <c r="Z223" i="2"/>
  <c r="H250" i="2"/>
  <c r="Z250" i="2"/>
  <c r="H249" i="2"/>
  <c r="Z249" i="2" s="1"/>
  <c r="H264" i="2"/>
  <c r="Z264" i="2" s="1"/>
  <c r="H261" i="2"/>
  <c r="T261" i="2" s="1"/>
  <c r="H263" i="2"/>
  <c r="F263" i="2" s="1"/>
  <c r="H262" i="2"/>
  <c r="H260" i="2"/>
  <c r="T260" i="2" s="1"/>
  <c r="H259" i="2"/>
  <c r="H258" i="2"/>
  <c r="F258" i="2" s="1"/>
  <c r="H257" i="2"/>
  <c r="Z257" i="2" s="1"/>
  <c r="H256" i="2"/>
  <c r="F256" i="2" s="1"/>
  <c r="H255" i="2"/>
  <c r="T255" i="2" s="1"/>
  <c r="H254" i="2"/>
  <c r="H253" i="2"/>
  <c r="T253" i="2"/>
  <c r="H251" i="2"/>
  <c r="F251" i="2" s="1"/>
  <c r="H252" i="2"/>
  <c r="T252" i="2" s="1"/>
  <c r="H248" i="2"/>
  <c r="T248" i="2" s="1"/>
  <c r="H247" i="2"/>
  <c r="T247" i="2" s="1"/>
  <c r="H246" i="2"/>
  <c r="Z246" i="2" s="1"/>
  <c r="H208" i="2"/>
  <c r="Z208" i="2" s="1"/>
  <c r="H207" i="2"/>
  <c r="Z207" i="2" s="1"/>
  <c r="H206" i="2"/>
  <c r="Z206" i="2" s="1"/>
  <c r="H205" i="2"/>
  <c r="Z205" i="2"/>
  <c r="H204" i="2"/>
  <c r="Z204" i="2" s="1"/>
  <c r="H199" i="2"/>
  <c r="H202" i="2"/>
  <c r="F202" i="2" s="1"/>
  <c r="H198" i="2"/>
  <c r="T198" i="2" s="1"/>
  <c r="H197" i="2"/>
  <c r="Z197" i="2" s="1"/>
  <c r="H196" i="2"/>
  <c r="H200" i="2"/>
  <c r="H201" i="2"/>
  <c r="H203" i="2"/>
  <c r="Z203" i="2" s="1"/>
  <c r="BJ233" i="2"/>
  <c r="BJ264" i="2"/>
  <c r="BJ232" i="2"/>
  <c r="BJ231" i="2"/>
  <c r="BJ230" i="2"/>
  <c r="BJ229" i="2"/>
  <c r="BJ263" i="2"/>
  <c r="BJ228" i="2"/>
  <c r="BJ227" i="2"/>
  <c r="BJ226" i="2"/>
  <c r="BJ225" i="2"/>
  <c r="BJ224" i="2"/>
  <c r="BJ261" i="2"/>
  <c r="BJ260" i="2"/>
  <c r="BJ223" i="2"/>
  <c r="BJ259" i="2"/>
  <c r="BJ258" i="2"/>
  <c r="BJ257" i="2"/>
  <c r="BJ222" i="2"/>
  <c r="BJ256" i="2"/>
  <c r="BJ255" i="2"/>
  <c r="BJ254" i="2"/>
  <c r="BJ221" i="2"/>
  <c r="BJ220" i="2"/>
  <c r="BJ219" i="2"/>
  <c r="BJ218" i="2"/>
  <c r="BJ253" i="2"/>
  <c r="BJ252" i="2"/>
  <c r="BJ217" i="2"/>
  <c r="BJ251" i="2"/>
  <c r="BJ216" i="2"/>
  <c r="BJ215" i="2"/>
  <c r="BJ250" i="2"/>
  <c r="BJ249" i="2"/>
  <c r="BJ214" i="2"/>
  <c r="BJ213" i="2"/>
  <c r="BJ248" i="2"/>
  <c r="BJ247" i="2"/>
  <c r="BJ246" i="2"/>
  <c r="BJ212" i="2"/>
  <c r="BJ211" i="2"/>
  <c r="BJ210" i="2"/>
  <c r="BJ209" i="2"/>
  <c r="BJ189" i="2"/>
  <c r="BJ185" i="2"/>
  <c r="BJ208" i="2"/>
  <c r="BJ207" i="2"/>
  <c r="BJ206" i="2"/>
  <c r="BJ205" i="2"/>
  <c r="BJ204" i="2"/>
  <c r="BJ203" i="2"/>
  <c r="BJ202" i="2"/>
  <c r="BJ167" i="2"/>
  <c r="BJ163" i="2"/>
  <c r="BJ158" i="2"/>
  <c r="BJ201" i="2"/>
  <c r="BJ156" i="2"/>
  <c r="BJ200" i="2"/>
  <c r="BJ199" i="2"/>
  <c r="BJ198" i="2"/>
  <c r="BJ197" i="2"/>
  <c r="BJ196" i="2"/>
  <c r="BN233" i="2"/>
  <c r="BN264" i="2"/>
  <c r="BN232" i="2"/>
  <c r="BN231" i="2"/>
  <c r="BN230" i="2"/>
  <c r="BN229" i="2"/>
  <c r="BN263" i="2"/>
  <c r="BN228" i="2"/>
  <c r="BN227" i="2"/>
  <c r="BN226" i="2"/>
  <c r="BN225" i="2"/>
  <c r="BN224" i="2"/>
  <c r="BN261" i="2"/>
  <c r="BN260" i="2"/>
  <c r="BN223" i="2"/>
  <c r="BN259" i="2"/>
  <c r="BN258" i="2"/>
  <c r="BN257" i="2"/>
  <c r="BN222" i="2"/>
  <c r="BN256" i="2"/>
  <c r="BN255" i="2"/>
  <c r="BN254" i="2"/>
  <c r="BN221" i="2"/>
  <c r="BN220" i="2"/>
  <c r="BN219" i="2"/>
  <c r="BN218" i="2"/>
  <c r="BN253" i="2"/>
  <c r="BN217" i="2"/>
  <c r="BN251" i="2"/>
  <c r="BN216" i="2"/>
  <c r="BN215" i="2"/>
  <c r="BN250" i="2"/>
  <c r="BN249" i="2"/>
  <c r="BN214" i="2"/>
  <c r="BN213" i="2"/>
  <c r="BN248" i="2"/>
  <c r="BN247" i="2"/>
  <c r="BN246" i="2"/>
  <c r="BN212" i="2"/>
  <c r="BN211" i="2"/>
  <c r="BN210" i="2"/>
  <c r="BN209" i="2"/>
  <c r="BN189" i="2"/>
  <c r="BN185" i="2"/>
  <c r="BN208" i="2"/>
  <c r="BN207" i="2"/>
  <c r="BN206" i="2"/>
  <c r="BN205" i="2"/>
  <c r="BN204" i="2"/>
  <c r="BN203" i="2"/>
  <c r="BN202" i="2"/>
  <c r="BN167" i="2"/>
  <c r="BN163" i="2"/>
  <c r="BN158" i="2"/>
  <c r="BN201" i="2"/>
  <c r="BN156" i="2"/>
  <c r="BN200" i="2"/>
  <c r="BN199" i="2"/>
  <c r="BN198" i="2"/>
  <c r="BN197" i="2"/>
  <c r="BN196" i="2"/>
  <c r="BL233" i="2"/>
  <c r="BL264" i="2"/>
  <c r="BL232" i="2"/>
  <c r="BL231" i="2"/>
  <c r="BL230" i="2"/>
  <c r="BL229" i="2"/>
  <c r="BL263" i="2"/>
  <c r="BL228" i="2"/>
  <c r="BL227" i="2"/>
  <c r="BL226" i="2"/>
  <c r="BL225" i="2"/>
  <c r="BL224" i="2"/>
  <c r="BL261" i="2"/>
  <c r="BL260" i="2"/>
  <c r="BL223" i="2"/>
  <c r="BL259" i="2"/>
  <c r="BL258" i="2"/>
  <c r="BL257" i="2"/>
  <c r="BL222" i="2"/>
  <c r="BL256" i="2"/>
  <c r="BL255" i="2"/>
  <c r="BL254" i="2"/>
  <c r="BL221" i="2"/>
  <c r="BL220" i="2"/>
  <c r="BL219" i="2"/>
  <c r="BL218" i="2"/>
  <c r="BL253" i="2"/>
  <c r="BL252" i="2"/>
  <c r="BL217" i="2"/>
  <c r="BL251" i="2"/>
  <c r="BL216" i="2"/>
  <c r="BL215" i="2"/>
  <c r="BL250" i="2"/>
  <c r="BL249" i="2"/>
  <c r="BL214" i="2"/>
  <c r="BL213" i="2"/>
  <c r="BL248" i="2"/>
  <c r="BL247" i="2"/>
  <c r="BL246" i="2"/>
  <c r="BL212" i="2"/>
  <c r="BL211" i="2"/>
  <c r="BL210" i="2"/>
  <c r="BL209" i="2"/>
  <c r="BL189" i="2"/>
  <c r="BL185" i="2"/>
  <c r="BL208" i="2"/>
  <c r="BL207" i="2"/>
  <c r="BL206" i="2"/>
  <c r="BL205" i="2"/>
  <c r="BL204" i="2"/>
  <c r="BL203" i="2"/>
  <c r="BL202" i="2"/>
  <c r="BL167" i="2"/>
  <c r="BL163" i="2"/>
  <c r="BL158" i="2"/>
  <c r="BL201" i="2"/>
  <c r="BL156" i="2"/>
  <c r="BL200" i="2"/>
  <c r="BL199" i="2"/>
  <c r="BL198" i="2"/>
  <c r="BL197" i="2"/>
  <c r="BL196" i="2"/>
  <c r="AW233" i="2"/>
  <c r="AW264" i="2"/>
  <c r="AW232" i="2"/>
  <c r="AW231" i="2"/>
  <c r="AW230" i="2"/>
  <c r="AW229" i="2"/>
  <c r="AW263" i="2"/>
  <c r="AW228" i="2"/>
  <c r="AW227" i="2"/>
  <c r="AW226" i="2"/>
  <c r="AW225" i="2"/>
  <c r="AW224" i="2"/>
  <c r="AW261" i="2"/>
  <c r="AW260" i="2"/>
  <c r="AW223" i="2"/>
  <c r="AW259" i="2"/>
  <c r="AW258" i="2"/>
  <c r="AW257" i="2"/>
  <c r="AW222" i="2"/>
  <c r="AW256" i="2"/>
  <c r="AW255" i="2"/>
  <c r="AW254" i="2"/>
  <c r="AW221" i="2"/>
  <c r="AW220" i="2"/>
  <c r="AW219" i="2"/>
  <c r="AW218" i="2"/>
  <c r="AW253" i="2"/>
  <c r="AW252" i="2"/>
  <c r="AW217" i="2"/>
  <c r="AW251" i="2"/>
  <c r="AW216" i="2"/>
  <c r="AW215" i="2"/>
  <c r="AW250" i="2"/>
  <c r="AW249" i="2"/>
  <c r="AW214" i="2"/>
  <c r="AW213" i="2"/>
  <c r="AW248" i="2"/>
  <c r="AW247" i="2"/>
  <c r="AW246" i="2"/>
  <c r="AW212" i="2"/>
  <c r="AW211" i="2"/>
  <c r="AW210" i="2"/>
  <c r="AW209" i="2"/>
  <c r="AW189" i="2"/>
  <c r="AW185" i="2"/>
  <c r="AW208" i="2"/>
  <c r="AW207" i="2"/>
  <c r="AW206" i="2"/>
  <c r="AW205" i="2"/>
  <c r="AW204" i="2"/>
  <c r="AW203" i="2"/>
  <c r="AW202" i="2"/>
  <c r="AW167" i="2"/>
  <c r="AW163" i="2"/>
  <c r="AW158" i="2"/>
  <c r="AW201" i="2"/>
  <c r="AW156" i="2"/>
  <c r="AW200" i="2"/>
  <c r="AW199" i="2"/>
  <c r="AW198" i="2"/>
  <c r="AW197" i="2"/>
  <c r="AW196" i="2"/>
  <c r="AQ233" i="2"/>
  <c r="AQ264" i="2"/>
  <c r="AQ232" i="2"/>
  <c r="AQ231" i="2"/>
  <c r="AQ230" i="2"/>
  <c r="AQ229" i="2"/>
  <c r="AQ263" i="2"/>
  <c r="AQ228" i="2"/>
  <c r="AQ227" i="2"/>
  <c r="AQ226" i="2"/>
  <c r="AQ225" i="2"/>
  <c r="AQ224" i="2"/>
  <c r="AQ261" i="2"/>
  <c r="AQ260" i="2"/>
  <c r="AQ223" i="2"/>
  <c r="AQ259" i="2"/>
  <c r="AQ258" i="2"/>
  <c r="AQ257" i="2"/>
  <c r="AQ222" i="2"/>
  <c r="AQ256" i="2"/>
  <c r="AQ255" i="2"/>
  <c r="AQ254" i="2"/>
  <c r="AQ221" i="2"/>
  <c r="AQ220" i="2"/>
  <c r="AQ219" i="2"/>
  <c r="AQ218" i="2"/>
  <c r="AQ253" i="2"/>
  <c r="AQ252" i="2"/>
  <c r="AQ217" i="2"/>
  <c r="AQ251" i="2"/>
  <c r="AQ216" i="2"/>
  <c r="AQ215" i="2"/>
  <c r="AQ250" i="2"/>
  <c r="AQ249" i="2"/>
  <c r="AQ214" i="2"/>
  <c r="AQ213" i="2"/>
  <c r="AQ248" i="2"/>
  <c r="AQ247" i="2"/>
  <c r="AQ246" i="2"/>
  <c r="AQ212" i="2"/>
  <c r="AQ211" i="2"/>
  <c r="AQ210" i="2"/>
  <c r="AQ209" i="2"/>
  <c r="AQ189" i="2"/>
  <c r="AQ185" i="2"/>
  <c r="AQ208" i="2"/>
  <c r="AQ207" i="2"/>
  <c r="AQ206" i="2"/>
  <c r="AQ205" i="2"/>
  <c r="AQ204" i="2"/>
  <c r="AQ203" i="2"/>
  <c r="AQ202" i="2"/>
  <c r="AQ167" i="2"/>
  <c r="AQ163" i="2"/>
  <c r="AQ158" i="2"/>
  <c r="AQ201" i="2"/>
  <c r="AQ156" i="2"/>
  <c r="AQ200" i="2"/>
  <c r="AQ199" i="2"/>
  <c r="AQ198" i="2"/>
  <c r="AQ197" i="2"/>
  <c r="AQ196" i="2"/>
  <c r="AT233" i="2"/>
  <c r="AT264" i="2"/>
  <c r="AT232" i="2"/>
  <c r="AT231" i="2"/>
  <c r="AT230" i="2"/>
  <c r="AT229" i="2"/>
  <c r="AT263" i="2"/>
  <c r="AT228" i="2"/>
  <c r="AT227" i="2"/>
  <c r="AT226" i="2"/>
  <c r="AT225" i="2"/>
  <c r="AT224" i="2"/>
  <c r="AT261" i="2"/>
  <c r="AT260" i="2"/>
  <c r="AT223" i="2"/>
  <c r="AT259" i="2"/>
  <c r="AT258" i="2"/>
  <c r="AT257" i="2"/>
  <c r="AT222" i="2"/>
  <c r="AT256" i="2"/>
  <c r="AT255" i="2"/>
  <c r="AT254" i="2"/>
  <c r="AT221" i="2"/>
  <c r="AT220" i="2"/>
  <c r="AT219" i="2"/>
  <c r="AT218" i="2"/>
  <c r="AT253" i="2"/>
  <c r="AT252" i="2"/>
  <c r="AT217" i="2"/>
  <c r="AT251" i="2"/>
  <c r="AT216" i="2"/>
  <c r="AT215" i="2"/>
  <c r="AT250" i="2"/>
  <c r="AT249" i="2"/>
  <c r="AT214" i="2"/>
  <c r="AT213" i="2"/>
  <c r="AT248" i="2"/>
  <c r="AT247" i="2"/>
  <c r="AT246" i="2"/>
  <c r="AT212" i="2"/>
  <c r="AT211" i="2"/>
  <c r="AT210" i="2"/>
  <c r="AT209" i="2"/>
  <c r="AT189" i="2"/>
  <c r="AT185" i="2"/>
  <c r="AT208" i="2"/>
  <c r="AT207" i="2"/>
  <c r="AT206" i="2"/>
  <c r="AT205" i="2"/>
  <c r="AT204" i="2"/>
  <c r="AT203" i="2"/>
  <c r="AT202" i="2"/>
  <c r="AT167" i="2"/>
  <c r="AT163" i="2"/>
  <c r="AT158" i="2"/>
  <c r="AT201" i="2"/>
  <c r="AT156" i="2"/>
  <c r="AT200" i="2"/>
  <c r="AT199" i="2"/>
  <c r="AT198" i="2"/>
  <c r="AT197" i="2"/>
  <c r="AT196" i="2"/>
  <c r="AM233" i="2"/>
  <c r="AM264" i="2"/>
  <c r="AM232" i="2"/>
  <c r="AM231" i="2"/>
  <c r="AM230" i="2"/>
  <c r="AM229" i="2"/>
  <c r="AM263" i="2"/>
  <c r="AM228" i="2"/>
  <c r="AM227" i="2"/>
  <c r="AM226" i="2"/>
  <c r="AM225" i="2"/>
  <c r="AM224" i="2"/>
  <c r="AM261" i="2"/>
  <c r="AM260" i="2"/>
  <c r="AM223" i="2"/>
  <c r="AM259" i="2"/>
  <c r="AM258" i="2"/>
  <c r="AM257" i="2"/>
  <c r="AM222" i="2"/>
  <c r="AM256" i="2"/>
  <c r="AM255" i="2"/>
  <c r="AM254" i="2"/>
  <c r="AM221" i="2"/>
  <c r="AM220" i="2"/>
  <c r="AM219" i="2"/>
  <c r="AM218" i="2"/>
  <c r="AM253" i="2"/>
  <c r="AM252" i="2"/>
  <c r="AM217" i="2"/>
  <c r="AM251" i="2"/>
  <c r="AM216" i="2"/>
  <c r="AM215" i="2"/>
  <c r="AM250" i="2"/>
  <c r="AM249" i="2"/>
  <c r="AM214" i="2"/>
  <c r="AM213" i="2"/>
  <c r="AM248" i="2"/>
  <c r="AM247" i="2"/>
  <c r="AM246" i="2"/>
  <c r="AM212" i="2"/>
  <c r="AM211" i="2"/>
  <c r="AM210" i="2"/>
  <c r="AM209" i="2"/>
  <c r="AM189" i="2"/>
  <c r="AM185" i="2"/>
  <c r="AM208" i="2"/>
  <c r="AM207" i="2"/>
  <c r="AM206" i="2"/>
  <c r="AM205" i="2"/>
  <c r="AM204" i="2"/>
  <c r="AM203" i="2"/>
  <c r="AM202" i="2"/>
  <c r="AM167" i="2"/>
  <c r="AM163" i="2"/>
  <c r="AM158" i="2"/>
  <c r="AM201" i="2"/>
  <c r="AM156" i="2"/>
  <c r="AM200" i="2"/>
  <c r="AM199" i="2"/>
  <c r="AM198" i="2"/>
  <c r="AM197" i="2"/>
  <c r="AM196" i="2"/>
  <c r="AL233" i="2"/>
  <c r="AL264" i="2"/>
  <c r="AL232" i="2"/>
  <c r="AL231" i="2"/>
  <c r="AL230" i="2"/>
  <c r="AL229" i="2"/>
  <c r="AL263" i="2"/>
  <c r="AL228" i="2"/>
  <c r="AL227" i="2"/>
  <c r="AL226" i="2"/>
  <c r="AL225" i="2"/>
  <c r="AL224" i="2"/>
  <c r="AL261" i="2"/>
  <c r="AL260" i="2"/>
  <c r="AL223" i="2"/>
  <c r="AL259" i="2"/>
  <c r="AL258" i="2"/>
  <c r="AL257" i="2"/>
  <c r="AL222" i="2"/>
  <c r="AL256" i="2"/>
  <c r="AL255" i="2"/>
  <c r="AL254" i="2"/>
  <c r="AL221" i="2"/>
  <c r="AL220" i="2"/>
  <c r="AL219" i="2"/>
  <c r="AL218" i="2"/>
  <c r="AL253" i="2"/>
  <c r="AL252" i="2"/>
  <c r="AL217" i="2"/>
  <c r="AL251" i="2"/>
  <c r="AL216" i="2"/>
  <c r="AL215" i="2"/>
  <c r="AL250" i="2"/>
  <c r="AL249" i="2"/>
  <c r="AL214" i="2"/>
  <c r="AL213" i="2"/>
  <c r="AL248" i="2"/>
  <c r="AL247" i="2"/>
  <c r="AL246" i="2"/>
  <c r="AL212" i="2"/>
  <c r="AL211" i="2"/>
  <c r="AL210" i="2"/>
  <c r="AL209" i="2"/>
  <c r="AL189" i="2"/>
  <c r="AL185" i="2"/>
  <c r="AL208" i="2"/>
  <c r="AL207" i="2"/>
  <c r="AL206" i="2"/>
  <c r="AL205" i="2"/>
  <c r="AL204" i="2"/>
  <c r="AL203" i="2"/>
  <c r="AL202" i="2"/>
  <c r="AL167" i="2"/>
  <c r="AL163" i="2"/>
  <c r="AL158" i="2"/>
  <c r="AL201" i="2"/>
  <c r="AL156" i="2"/>
  <c r="AL200" i="2"/>
  <c r="AL199" i="2"/>
  <c r="AL198" i="2"/>
  <c r="AL197" i="2"/>
  <c r="AL196" i="2"/>
  <c r="AF233" i="2"/>
  <c r="AF264" i="2"/>
  <c r="AF232" i="2"/>
  <c r="AF231" i="2"/>
  <c r="AF230" i="2"/>
  <c r="AF229" i="2"/>
  <c r="AF263" i="2"/>
  <c r="AF228" i="2"/>
  <c r="AF227" i="2"/>
  <c r="AF226" i="2"/>
  <c r="AF225" i="2"/>
  <c r="AF224" i="2"/>
  <c r="AF261" i="2"/>
  <c r="AF260" i="2"/>
  <c r="AF223" i="2"/>
  <c r="AF259" i="2"/>
  <c r="AF258" i="2"/>
  <c r="AF257" i="2"/>
  <c r="AF222" i="2"/>
  <c r="AF256" i="2"/>
  <c r="AF255" i="2"/>
  <c r="AF254" i="2"/>
  <c r="AF221" i="2"/>
  <c r="AF220" i="2"/>
  <c r="AF219" i="2"/>
  <c r="AF218" i="2"/>
  <c r="AF253" i="2"/>
  <c r="AF252" i="2"/>
  <c r="AF217" i="2"/>
  <c r="AF251" i="2"/>
  <c r="AF216" i="2"/>
  <c r="AF215" i="2"/>
  <c r="AF250" i="2"/>
  <c r="AF249" i="2"/>
  <c r="AF214" i="2"/>
  <c r="AF213" i="2"/>
  <c r="AF248" i="2"/>
  <c r="AF247" i="2"/>
  <c r="AF246" i="2"/>
  <c r="AF212" i="2"/>
  <c r="AF211" i="2"/>
  <c r="AF210" i="2"/>
  <c r="AF209" i="2"/>
  <c r="AF189" i="2"/>
  <c r="AF185" i="2"/>
  <c r="AF208" i="2"/>
  <c r="AF207" i="2"/>
  <c r="AF206" i="2"/>
  <c r="AF205" i="2"/>
  <c r="AF204" i="2"/>
  <c r="AF203" i="2"/>
  <c r="AF202" i="2"/>
  <c r="AF167" i="2"/>
  <c r="AF163" i="2"/>
  <c r="AF158" i="2"/>
  <c r="AF201" i="2"/>
  <c r="AF156" i="2"/>
  <c r="AF200" i="2"/>
  <c r="AF199" i="2"/>
  <c r="AF198" i="2"/>
  <c r="AF197" i="2"/>
  <c r="AF196" i="2"/>
  <c r="AE233" i="2"/>
  <c r="AE264" i="2"/>
  <c r="AE232" i="2"/>
  <c r="AE231" i="2"/>
  <c r="AE230" i="2"/>
  <c r="AE229" i="2"/>
  <c r="AE263" i="2"/>
  <c r="AE228" i="2"/>
  <c r="AE227" i="2"/>
  <c r="AE226" i="2"/>
  <c r="AE225" i="2"/>
  <c r="AE224" i="2"/>
  <c r="AE261" i="2"/>
  <c r="AE260" i="2"/>
  <c r="AE223" i="2"/>
  <c r="AE259" i="2"/>
  <c r="AE258" i="2"/>
  <c r="AE257" i="2"/>
  <c r="AE222" i="2"/>
  <c r="AE256" i="2"/>
  <c r="AE255" i="2"/>
  <c r="AE254" i="2"/>
  <c r="AE221" i="2"/>
  <c r="AE220" i="2"/>
  <c r="AE219" i="2"/>
  <c r="AE218" i="2"/>
  <c r="AE253" i="2"/>
  <c r="AE252" i="2"/>
  <c r="AE217" i="2"/>
  <c r="AE251" i="2"/>
  <c r="AE216" i="2"/>
  <c r="AE215" i="2"/>
  <c r="AE250" i="2"/>
  <c r="AE249" i="2"/>
  <c r="AE214" i="2"/>
  <c r="AE213" i="2"/>
  <c r="AE248" i="2"/>
  <c r="AE247" i="2"/>
  <c r="AE246" i="2"/>
  <c r="AE212" i="2"/>
  <c r="AE211" i="2"/>
  <c r="AE210" i="2"/>
  <c r="AE209" i="2"/>
  <c r="AE189" i="2"/>
  <c r="AE185" i="2"/>
  <c r="AE208" i="2"/>
  <c r="AE207" i="2"/>
  <c r="AE206" i="2"/>
  <c r="AE205" i="2"/>
  <c r="AE204" i="2"/>
  <c r="AE203" i="2"/>
  <c r="AE202" i="2"/>
  <c r="AE167" i="2"/>
  <c r="AE163" i="2"/>
  <c r="AE158" i="2"/>
  <c r="AE201" i="2"/>
  <c r="AE156" i="2"/>
  <c r="AE200" i="2"/>
  <c r="AE199" i="2"/>
  <c r="AE198" i="2"/>
  <c r="AE197" i="2"/>
  <c r="AE196" i="2"/>
  <c r="Y233" i="2"/>
  <c r="Y264" i="2"/>
  <c r="Y232" i="2"/>
  <c r="Y231" i="2"/>
  <c r="Y230" i="2"/>
  <c r="Y229" i="2"/>
  <c r="Y263" i="2"/>
  <c r="Y228" i="2"/>
  <c r="Y227" i="2"/>
  <c r="Y226" i="2"/>
  <c r="Y225" i="2"/>
  <c r="Y224" i="2"/>
  <c r="Y261" i="2"/>
  <c r="Y260" i="2"/>
  <c r="Y223" i="2"/>
  <c r="Y259" i="2"/>
  <c r="Y258" i="2"/>
  <c r="Y257" i="2"/>
  <c r="Y222" i="2"/>
  <c r="Y256" i="2"/>
  <c r="Y255" i="2"/>
  <c r="Y254" i="2"/>
  <c r="Y221" i="2"/>
  <c r="Y220" i="2"/>
  <c r="Y219" i="2"/>
  <c r="Y218" i="2"/>
  <c r="Y253" i="2"/>
  <c r="Y252" i="2"/>
  <c r="Y217" i="2"/>
  <c r="Y251" i="2"/>
  <c r="Y216" i="2"/>
  <c r="Y215" i="2"/>
  <c r="Y250" i="2"/>
  <c r="Y249" i="2"/>
  <c r="Y214" i="2"/>
  <c r="Y213" i="2"/>
  <c r="Y248" i="2"/>
  <c r="Y247" i="2"/>
  <c r="Y246" i="2"/>
  <c r="Y212" i="2"/>
  <c r="Y211" i="2"/>
  <c r="Y210" i="2"/>
  <c r="Y209" i="2"/>
  <c r="Y189" i="2"/>
  <c r="Y185" i="2"/>
  <c r="Y208" i="2"/>
  <c r="Y207" i="2"/>
  <c r="Y206" i="2"/>
  <c r="Y205" i="2"/>
  <c r="Y204" i="2"/>
  <c r="Y203" i="2"/>
  <c r="Y202" i="2"/>
  <c r="Y167" i="2"/>
  <c r="Y163" i="2"/>
  <c r="Y158" i="2"/>
  <c r="Y201" i="2"/>
  <c r="Y156" i="2"/>
  <c r="Y200" i="2"/>
  <c r="Y199" i="2"/>
  <c r="Y198" i="2"/>
  <c r="Y197" i="2"/>
  <c r="Y196" i="2"/>
  <c r="W233" i="2"/>
  <c r="W264" i="2"/>
  <c r="W232" i="2"/>
  <c r="W231" i="2"/>
  <c r="W230" i="2"/>
  <c r="W229" i="2"/>
  <c r="W263" i="2"/>
  <c r="W228" i="2"/>
  <c r="W227" i="2"/>
  <c r="W226" i="2"/>
  <c r="W225" i="2"/>
  <c r="W224" i="2"/>
  <c r="W261" i="2"/>
  <c r="W260" i="2"/>
  <c r="W223" i="2"/>
  <c r="W259" i="2"/>
  <c r="W258" i="2"/>
  <c r="W257" i="2"/>
  <c r="W222" i="2"/>
  <c r="W256" i="2"/>
  <c r="W255" i="2"/>
  <c r="W254" i="2"/>
  <c r="W221" i="2"/>
  <c r="W220" i="2"/>
  <c r="W219" i="2"/>
  <c r="W218" i="2"/>
  <c r="W253" i="2"/>
  <c r="W252" i="2"/>
  <c r="W217" i="2"/>
  <c r="W251" i="2"/>
  <c r="W216" i="2"/>
  <c r="W215" i="2"/>
  <c r="W250" i="2"/>
  <c r="W249" i="2"/>
  <c r="W214" i="2"/>
  <c r="W213" i="2"/>
  <c r="W248" i="2"/>
  <c r="W247" i="2"/>
  <c r="W246" i="2"/>
  <c r="W212" i="2"/>
  <c r="W211" i="2"/>
  <c r="W210" i="2"/>
  <c r="W209" i="2"/>
  <c r="W189" i="2"/>
  <c r="W185" i="2"/>
  <c r="W208" i="2"/>
  <c r="W207" i="2"/>
  <c r="W206" i="2"/>
  <c r="W205" i="2"/>
  <c r="W204" i="2"/>
  <c r="W203" i="2"/>
  <c r="W202" i="2"/>
  <c r="W167" i="2"/>
  <c r="W163" i="2"/>
  <c r="W158" i="2"/>
  <c r="W201" i="2"/>
  <c r="W156" i="2"/>
  <c r="W200" i="2"/>
  <c r="W199" i="2"/>
  <c r="W198" i="2"/>
  <c r="W197" i="2"/>
  <c r="W196" i="2"/>
  <c r="S233" i="2"/>
  <c r="S264" i="2"/>
  <c r="S232" i="2"/>
  <c r="S231" i="2"/>
  <c r="S230" i="2"/>
  <c r="S229" i="2"/>
  <c r="S263" i="2"/>
  <c r="S228" i="2"/>
  <c r="S227" i="2"/>
  <c r="S226" i="2"/>
  <c r="S225" i="2"/>
  <c r="S224" i="2"/>
  <c r="S261" i="2"/>
  <c r="S260" i="2"/>
  <c r="S223" i="2"/>
  <c r="S259" i="2"/>
  <c r="S258" i="2"/>
  <c r="S257" i="2"/>
  <c r="S222" i="2"/>
  <c r="S256" i="2"/>
  <c r="S255" i="2"/>
  <c r="S254" i="2"/>
  <c r="S221" i="2"/>
  <c r="S220" i="2"/>
  <c r="S219" i="2"/>
  <c r="S218" i="2"/>
  <c r="S253" i="2"/>
  <c r="S252" i="2"/>
  <c r="S217" i="2"/>
  <c r="S251" i="2"/>
  <c r="S216" i="2"/>
  <c r="S215" i="2"/>
  <c r="S250" i="2"/>
  <c r="S249" i="2"/>
  <c r="S214" i="2"/>
  <c r="S213" i="2"/>
  <c r="S248" i="2"/>
  <c r="S247" i="2"/>
  <c r="S246" i="2"/>
  <c r="S212" i="2"/>
  <c r="S211" i="2"/>
  <c r="S210" i="2"/>
  <c r="S209" i="2"/>
  <c r="S189" i="2"/>
  <c r="S200" i="2"/>
  <c r="S156" i="2"/>
  <c r="S201" i="2"/>
  <c r="S158" i="2"/>
  <c r="S163" i="2"/>
  <c r="S167" i="2"/>
  <c r="S202" i="2"/>
  <c r="S203" i="2"/>
  <c r="S204" i="2"/>
  <c r="S205" i="2"/>
  <c r="S206" i="2"/>
  <c r="S207" i="2"/>
  <c r="S208" i="2"/>
  <c r="S185" i="2"/>
  <c r="S199" i="2"/>
  <c r="S198" i="2"/>
  <c r="S197" i="2"/>
  <c r="S196" i="2"/>
  <c r="AY35" i="2"/>
  <c r="AX35" i="2"/>
  <c r="AW35" i="2"/>
  <c r="AV35" i="2"/>
  <c r="AQ35" i="2"/>
  <c r="AP35" i="2"/>
  <c r="AP34" i="2"/>
  <c r="AO35" i="2"/>
  <c r="AN35" i="2"/>
  <c r="AM35" i="2"/>
  <c r="AL35" i="2"/>
  <c r="AH35" i="2"/>
  <c r="AG35" i="2"/>
  <c r="AF35" i="2"/>
  <c r="AE35" i="2"/>
  <c r="AD35" i="2"/>
  <c r="AC35" i="2"/>
  <c r="AB35" i="2"/>
  <c r="AA35" i="2"/>
  <c r="Y35" i="2"/>
  <c r="X35" i="2"/>
  <c r="S35" i="2"/>
  <c r="R35" i="2"/>
  <c r="Q35" i="2"/>
  <c r="O35" i="2"/>
  <c r="BN35" i="2"/>
  <c r="BL35" i="2"/>
  <c r="BK35" i="2"/>
  <c r="BH35" i="2"/>
  <c r="BG35" i="2"/>
  <c r="BF35" i="2"/>
  <c r="AZ35" i="2"/>
  <c r="AZ108" i="2"/>
  <c r="AZ109" i="2"/>
  <c r="AZ110" i="2"/>
  <c r="AZ111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3" i="2"/>
  <c r="AZ85" i="2"/>
  <c r="AZ86" i="2"/>
  <c r="AZ87" i="2"/>
  <c r="AZ88" i="2"/>
  <c r="AZ89" i="2"/>
  <c r="AZ90" i="2"/>
  <c r="AZ91" i="2"/>
  <c r="AZ92" i="2"/>
  <c r="AZ93" i="2"/>
  <c r="AZ94" i="2"/>
  <c r="AZ51" i="2"/>
  <c r="AZ52" i="2"/>
  <c r="AZ53" i="2"/>
  <c r="AZ54" i="2"/>
  <c r="AZ55" i="2"/>
  <c r="AZ56" i="2"/>
  <c r="AZ57" i="2"/>
  <c r="AZ58" i="2"/>
  <c r="AZ59" i="2"/>
  <c r="AZ60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36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7" i="2"/>
  <c r="AB136" i="2"/>
  <c r="AB135" i="2"/>
  <c r="AB134" i="2"/>
  <c r="AB133" i="2"/>
  <c r="AB132" i="2"/>
  <c r="AB131" i="2"/>
  <c r="AB130" i="2"/>
  <c r="AB129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3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233" i="2"/>
  <c r="AB264" i="2"/>
  <c r="AB232" i="2"/>
  <c r="AB231" i="2"/>
  <c r="AB230" i="2"/>
  <c r="AB229" i="2"/>
  <c r="AB263" i="2"/>
  <c r="AB228" i="2"/>
  <c r="AB227" i="2"/>
  <c r="AB226" i="2"/>
  <c r="AB225" i="2"/>
  <c r="AB224" i="2"/>
  <c r="AB261" i="2"/>
  <c r="AB260" i="2"/>
  <c r="AB223" i="2"/>
  <c r="AB259" i="2"/>
  <c r="AB258" i="2"/>
  <c r="AB257" i="2"/>
  <c r="AB222" i="2"/>
  <c r="AB256" i="2"/>
  <c r="AB255" i="2"/>
  <c r="AB254" i="2"/>
  <c r="AB221" i="2"/>
  <c r="AB220" i="2"/>
  <c r="AB219" i="2"/>
  <c r="AB218" i="2"/>
  <c r="AB253" i="2"/>
  <c r="AB252" i="2"/>
  <c r="AB217" i="2"/>
  <c r="AB251" i="2"/>
  <c r="AB216" i="2"/>
  <c r="AB215" i="2"/>
  <c r="AB250" i="2"/>
  <c r="AB249" i="2"/>
  <c r="AB214" i="2"/>
  <c r="AB213" i="2"/>
  <c r="AB248" i="2"/>
  <c r="AB247" i="2"/>
  <c r="AB246" i="2"/>
  <c r="AB212" i="2"/>
  <c r="AB211" i="2"/>
  <c r="AB210" i="2"/>
  <c r="AB209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192" i="2"/>
  <c r="AB191" i="2"/>
  <c r="AB190" i="2"/>
  <c r="AB189" i="2"/>
  <c r="AB188" i="2"/>
  <c r="AB187" i="2"/>
  <c r="AB186" i="2"/>
  <c r="AB185" i="2"/>
  <c r="AB208" i="2"/>
  <c r="AB184" i="2"/>
  <c r="AB183" i="2"/>
  <c r="AB182" i="2"/>
  <c r="AB181" i="2"/>
  <c r="AB180" i="2"/>
  <c r="AB179" i="2"/>
  <c r="AB207" i="2"/>
  <c r="AB206" i="2"/>
  <c r="AB205" i="2"/>
  <c r="AB178" i="2"/>
  <c r="AB204" i="2"/>
  <c r="AB203" i="2"/>
  <c r="AB177" i="2"/>
  <c r="AB176" i="2"/>
  <c r="AB175" i="2"/>
  <c r="AB174" i="2"/>
  <c r="AB173" i="2"/>
  <c r="AB172" i="2"/>
  <c r="AB171" i="2"/>
  <c r="AB170" i="2"/>
  <c r="AB169" i="2"/>
  <c r="AB168" i="2"/>
  <c r="AB202" i="2"/>
  <c r="AB167" i="2"/>
  <c r="AB166" i="2"/>
  <c r="AB165" i="2"/>
  <c r="AB164" i="2"/>
  <c r="AB163" i="2"/>
  <c r="AB162" i="2"/>
  <c r="AB161" i="2"/>
  <c r="AB160" i="2"/>
  <c r="AB159" i="2"/>
  <c r="AB158" i="2"/>
  <c r="AB157" i="2"/>
  <c r="AB201" i="2"/>
  <c r="AB156" i="2"/>
  <c r="AB200" i="2"/>
  <c r="AB199" i="2"/>
  <c r="AB155" i="2"/>
  <c r="AB198" i="2"/>
  <c r="AB154" i="2"/>
  <c r="AB197" i="2"/>
  <c r="AB196" i="2"/>
  <c r="AB195" i="2"/>
  <c r="O129" i="2"/>
  <c r="AV123" i="2"/>
  <c r="AV124" i="2"/>
  <c r="AV125" i="2"/>
  <c r="AV122" i="2"/>
  <c r="J91" i="2"/>
  <c r="AP111" i="2"/>
  <c r="AV111" i="2"/>
  <c r="J111" i="2"/>
  <c r="O111" i="2"/>
  <c r="Q111" i="2"/>
  <c r="R111" i="2"/>
  <c r="S111" i="2"/>
  <c r="W111" i="2"/>
  <c r="X111" i="2"/>
  <c r="Y111" i="2"/>
  <c r="AA111" i="2"/>
  <c r="AC111" i="2"/>
  <c r="AD111" i="2"/>
  <c r="AE111" i="2"/>
  <c r="AF111" i="2"/>
  <c r="AG111" i="2"/>
  <c r="AL111" i="2"/>
  <c r="AM111" i="2"/>
  <c r="AN111" i="2"/>
  <c r="AO111" i="2"/>
  <c r="AQ111" i="2"/>
  <c r="AT111" i="2"/>
  <c r="AW111" i="2"/>
  <c r="AX111" i="2"/>
  <c r="AY111" i="2"/>
  <c r="BG111" i="2"/>
  <c r="BH111" i="2"/>
  <c r="BI111" i="2"/>
  <c r="BJ111" i="2"/>
  <c r="BK111" i="2"/>
  <c r="BL111" i="2"/>
  <c r="BN111" i="2"/>
  <c r="P111" i="2"/>
  <c r="AH111" i="2"/>
  <c r="AR111" i="2"/>
  <c r="BF111" i="2"/>
  <c r="AP110" i="2"/>
  <c r="AV110" i="2"/>
  <c r="J110" i="2"/>
  <c r="O110" i="2"/>
  <c r="Q110" i="2"/>
  <c r="R110" i="2"/>
  <c r="S110" i="2"/>
  <c r="W110" i="2"/>
  <c r="X110" i="2"/>
  <c r="Y110" i="2"/>
  <c r="AA110" i="2"/>
  <c r="AC110" i="2"/>
  <c r="AD110" i="2"/>
  <c r="AE110" i="2"/>
  <c r="AF110" i="2"/>
  <c r="AG110" i="2"/>
  <c r="AL110" i="2"/>
  <c r="AM110" i="2"/>
  <c r="AN110" i="2"/>
  <c r="AO110" i="2"/>
  <c r="AQ110" i="2"/>
  <c r="AT110" i="2"/>
  <c r="AW110" i="2"/>
  <c r="AX110" i="2"/>
  <c r="AY110" i="2"/>
  <c r="BG110" i="2"/>
  <c r="BH110" i="2"/>
  <c r="BI110" i="2"/>
  <c r="BJ110" i="2"/>
  <c r="BK110" i="2"/>
  <c r="BL110" i="2"/>
  <c r="BN110" i="2"/>
  <c r="P110" i="2"/>
  <c r="AH110" i="2"/>
  <c r="AR110" i="2"/>
  <c r="BF110" i="2"/>
  <c r="AP109" i="2"/>
  <c r="AV109" i="2"/>
  <c r="J109" i="2"/>
  <c r="O109" i="2"/>
  <c r="Q109" i="2"/>
  <c r="R109" i="2"/>
  <c r="S109" i="2"/>
  <c r="W109" i="2"/>
  <c r="X109" i="2"/>
  <c r="Y109" i="2"/>
  <c r="AA109" i="2"/>
  <c r="AC109" i="2"/>
  <c r="AD109" i="2"/>
  <c r="AE109" i="2"/>
  <c r="AF109" i="2"/>
  <c r="AG109" i="2"/>
  <c r="AL109" i="2"/>
  <c r="AM109" i="2"/>
  <c r="AN109" i="2"/>
  <c r="AO109" i="2"/>
  <c r="AQ109" i="2"/>
  <c r="AT109" i="2"/>
  <c r="AW109" i="2"/>
  <c r="AX109" i="2"/>
  <c r="AY109" i="2"/>
  <c r="BG109" i="2"/>
  <c r="BH109" i="2"/>
  <c r="BI109" i="2"/>
  <c r="BJ109" i="2"/>
  <c r="BK109" i="2"/>
  <c r="BL109" i="2"/>
  <c r="BN109" i="2"/>
  <c r="P109" i="2"/>
  <c r="AH109" i="2"/>
  <c r="AR109" i="2"/>
  <c r="BF109" i="2"/>
  <c r="AP108" i="2"/>
  <c r="AV108" i="2"/>
  <c r="J108" i="2"/>
  <c r="O108" i="2"/>
  <c r="Q108" i="2"/>
  <c r="R108" i="2"/>
  <c r="S108" i="2"/>
  <c r="W108" i="2"/>
  <c r="X108" i="2"/>
  <c r="Y108" i="2"/>
  <c r="AA108" i="2"/>
  <c r="AC108" i="2"/>
  <c r="AD108" i="2"/>
  <c r="AE108" i="2"/>
  <c r="AF108" i="2"/>
  <c r="AG108" i="2"/>
  <c r="AL108" i="2"/>
  <c r="AM108" i="2"/>
  <c r="AN108" i="2"/>
  <c r="AO108" i="2"/>
  <c r="AQ108" i="2"/>
  <c r="AT108" i="2"/>
  <c r="AW108" i="2"/>
  <c r="AX108" i="2"/>
  <c r="AY108" i="2"/>
  <c r="BG108" i="2"/>
  <c r="BH108" i="2"/>
  <c r="BI108" i="2"/>
  <c r="BJ108" i="2"/>
  <c r="BK108" i="2"/>
  <c r="BL108" i="2"/>
  <c r="BN108" i="2"/>
  <c r="P108" i="2"/>
  <c r="AH108" i="2"/>
  <c r="AR108" i="2"/>
  <c r="BF108" i="2"/>
  <c r="AP107" i="2"/>
  <c r="AV107" i="2"/>
  <c r="J107" i="2"/>
  <c r="O107" i="2"/>
  <c r="Q107" i="2"/>
  <c r="R107" i="2"/>
  <c r="S107" i="2"/>
  <c r="W107" i="2"/>
  <c r="X107" i="2"/>
  <c r="Y107" i="2"/>
  <c r="AA107" i="2"/>
  <c r="AC107" i="2"/>
  <c r="AD107" i="2"/>
  <c r="AE107" i="2"/>
  <c r="AF107" i="2"/>
  <c r="AG107" i="2"/>
  <c r="AL107" i="2"/>
  <c r="AM107" i="2"/>
  <c r="AN107" i="2"/>
  <c r="AO107" i="2"/>
  <c r="AQ107" i="2"/>
  <c r="AT107" i="2"/>
  <c r="AW107" i="2"/>
  <c r="AX107" i="2"/>
  <c r="AY107" i="2"/>
  <c r="BG107" i="2"/>
  <c r="BH107" i="2"/>
  <c r="BI107" i="2"/>
  <c r="BJ107" i="2"/>
  <c r="BK107" i="2"/>
  <c r="BL107" i="2"/>
  <c r="BN107" i="2"/>
  <c r="P107" i="2"/>
  <c r="AH107" i="2"/>
  <c r="AR107" i="2"/>
  <c r="BF107" i="2"/>
  <c r="P106" i="2"/>
  <c r="AH106" i="2"/>
  <c r="AR106" i="2"/>
  <c r="BF106" i="2"/>
  <c r="AP106" i="2"/>
  <c r="AV106" i="2"/>
  <c r="J106" i="2"/>
  <c r="O106" i="2"/>
  <c r="Q106" i="2"/>
  <c r="R106" i="2"/>
  <c r="S106" i="2"/>
  <c r="W106" i="2"/>
  <c r="X106" i="2"/>
  <c r="Y106" i="2"/>
  <c r="AA106" i="2"/>
  <c r="AC106" i="2"/>
  <c r="AD106" i="2"/>
  <c r="AE106" i="2"/>
  <c r="AF106" i="2"/>
  <c r="AG106" i="2"/>
  <c r="AL106" i="2"/>
  <c r="AM106" i="2"/>
  <c r="AN106" i="2"/>
  <c r="AO106" i="2"/>
  <c r="AQ106" i="2"/>
  <c r="AT106" i="2"/>
  <c r="AW106" i="2"/>
  <c r="AX106" i="2"/>
  <c r="AY106" i="2"/>
  <c r="BG106" i="2"/>
  <c r="BH106" i="2"/>
  <c r="BI106" i="2"/>
  <c r="BJ106" i="2"/>
  <c r="BK106" i="2"/>
  <c r="BL106" i="2"/>
  <c r="BN106" i="2"/>
  <c r="AP105" i="2"/>
  <c r="AV105" i="2"/>
  <c r="J105" i="2"/>
  <c r="O105" i="2"/>
  <c r="Q105" i="2"/>
  <c r="R105" i="2"/>
  <c r="S105" i="2"/>
  <c r="W105" i="2"/>
  <c r="X105" i="2"/>
  <c r="Y105" i="2"/>
  <c r="AA105" i="2"/>
  <c r="AC105" i="2"/>
  <c r="AD105" i="2"/>
  <c r="AE105" i="2"/>
  <c r="AF105" i="2"/>
  <c r="AG105" i="2"/>
  <c r="AL105" i="2"/>
  <c r="AM105" i="2"/>
  <c r="AN105" i="2"/>
  <c r="AO105" i="2"/>
  <c r="AQ105" i="2"/>
  <c r="AT105" i="2"/>
  <c r="AW105" i="2"/>
  <c r="AX105" i="2"/>
  <c r="AY105" i="2"/>
  <c r="BG105" i="2"/>
  <c r="BH105" i="2"/>
  <c r="BI105" i="2"/>
  <c r="BJ105" i="2"/>
  <c r="BK105" i="2"/>
  <c r="BL105" i="2"/>
  <c r="BN105" i="2"/>
  <c r="P105" i="2"/>
  <c r="AH105" i="2"/>
  <c r="AR105" i="2"/>
  <c r="BF105" i="2"/>
  <c r="AQ34" i="2"/>
  <c r="AA229" i="2"/>
  <c r="AA263" i="2"/>
  <c r="AY229" i="2"/>
  <c r="AY263" i="2"/>
  <c r="AX229" i="2"/>
  <c r="AX263" i="2"/>
  <c r="AV229" i="2"/>
  <c r="AV263" i="2"/>
  <c r="BN104" i="2"/>
  <c r="BN103" i="2"/>
  <c r="BN102" i="2"/>
  <c r="BN101" i="2"/>
  <c r="BN100" i="2"/>
  <c r="BL104" i="2"/>
  <c r="BK104" i="2"/>
  <c r="BJ104" i="2"/>
  <c r="BL103" i="2"/>
  <c r="BK103" i="2"/>
  <c r="BJ103" i="2"/>
  <c r="BL102" i="2"/>
  <c r="BK102" i="2"/>
  <c r="BJ102" i="2"/>
  <c r="BL101" i="2"/>
  <c r="BK101" i="2"/>
  <c r="BJ101" i="2"/>
  <c r="BL100" i="2"/>
  <c r="BK100" i="2"/>
  <c r="BJ100" i="2"/>
  <c r="BI104" i="2"/>
  <c r="BI103" i="2"/>
  <c r="BI102" i="2"/>
  <c r="BI101" i="2"/>
  <c r="BI100" i="2"/>
  <c r="BH104" i="2"/>
  <c r="BH103" i="2"/>
  <c r="BH102" i="2"/>
  <c r="BH101" i="2"/>
  <c r="BH100" i="2"/>
  <c r="BG104" i="2"/>
  <c r="BG103" i="2"/>
  <c r="BG102" i="2"/>
  <c r="BG101" i="2"/>
  <c r="BG100" i="2"/>
  <c r="AY104" i="2"/>
  <c r="AX104" i="2"/>
  <c r="AY103" i="2"/>
  <c r="AX103" i="2"/>
  <c r="AY102" i="2"/>
  <c r="AX102" i="2"/>
  <c r="AY101" i="2"/>
  <c r="AX101" i="2"/>
  <c r="AY100" i="2"/>
  <c r="AX100" i="2"/>
  <c r="AW104" i="2"/>
  <c r="AV104" i="2"/>
  <c r="AW103" i="2"/>
  <c r="AV103" i="2"/>
  <c r="AW102" i="2"/>
  <c r="AV102" i="2"/>
  <c r="AW101" i="2"/>
  <c r="AV101" i="2"/>
  <c r="AW100" i="2"/>
  <c r="AV100" i="2"/>
  <c r="AT104" i="2"/>
  <c r="AT103" i="2"/>
  <c r="AT102" i="2"/>
  <c r="AT101" i="2"/>
  <c r="AT100" i="2"/>
  <c r="AQ104" i="2"/>
  <c r="AQ103" i="2"/>
  <c r="AQ102" i="2"/>
  <c r="AQ101" i="2"/>
  <c r="AQ100" i="2"/>
  <c r="AP104" i="2"/>
  <c r="AO104" i="2"/>
  <c r="AN104" i="2"/>
  <c r="AP103" i="2"/>
  <c r="AO103" i="2"/>
  <c r="AN103" i="2"/>
  <c r="AP102" i="2"/>
  <c r="AO102" i="2"/>
  <c r="AN102" i="2"/>
  <c r="AP101" i="2"/>
  <c r="AO101" i="2"/>
  <c r="AN101" i="2"/>
  <c r="AP100" i="2"/>
  <c r="AO100" i="2"/>
  <c r="AN100" i="2"/>
  <c r="AM104" i="2"/>
  <c r="AL104" i="2"/>
  <c r="AM103" i="2"/>
  <c r="AL103" i="2"/>
  <c r="AM102" i="2"/>
  <c r="AL102" i="2"/>
  <c r="AM101" i="2"/>
  <c r="AL101" i="2"/>
  <c r="AM100" i="2"/>
  <c r="AL100" i="2"/>
  <c r="AG104" i="2"/>
  <c r="AF104" i="2"/>
  <c r="AG103" i="2"/>
  <c r="AF103" i="2"/>
  <c r="AG102" i="2"/>
  <c r="AF102" i="2"/>
  <c r="AG101" i="2"/>
  <c r="AF101" i="2"/>
  <c r="AG100" i="2"/>
  <c r="AF100" i="2"/>
  <c r="AE104" i="2"/>
  <c r="AD104" i="2"/>
  <c r="AC104" i="2"/>
  <c r="AA104" i="2"/>
  <c r="AE103" i="2"/>
  <c r="AD103" i="2"/>
  <c r="AC103" i="2"/>
  <c r="AA103" i="2"/>
  <c r="AE102" i="2"/>
  <c r="AD102" i="2"/>
  <c r="AC102" i="2"/>
  <c r="AA102" i="2"/>
  <c r="AE101" i="2"/>
  <c r="AD101" i="2"/>
  <c r="AC101" i="2"/>
  <c r="AA101" i="2"/>
  <c r="AE100" i="2"/>
  <c r="AD100" i="2"/>
  <c r="AC100" i="2"/>
  <c r="AA100" i="2"/>
  <c r="Y104" i="2"/>
  <c r="Y103" i="2"/>
  <c r="Y102" i="2"/>
  <c r="Y101" i="2"/>
  <c r="Y100" i="2"/>
  <c r="J104" i="2"/>
  <c r="O104" i="2"/>
  <c r="Q104" i="2"/>
  <c r="R104" i="2"/>
  <c r="S104" i="2"/>
  <c r="W104" i="2"/>
  <c r="X104" i="2"/>
  <c r="O103" i="2"/>
  <c r="O102" i="2"/>
  <c r="O101" i="2"/>
  <c r="O100" i="2"/>
  <c r="X103" i="2"/>
  <c r="W103" i="2"/>
  <c r="X102" i="2"/>
  <c r="W102" i="2"/>
  <c r="X101" i="2"/>
  <c r="W101" i="2"/>
  <c r="X100" i="2"/>
  <c r="W100" i="2"/>
  <c r="S103" i="2"/>
  <c r="R103" i="2"/>
  <c r="Q103" i="2"/>
  <c r="S102" i="2"/>
  <c r="R102" i="2"/>
  <c r="Q102" i="2"/>
  <c r="S101" i="2"/>
  <c r="R101" i="2"/>
  <c r="Q101" i="2"/>
  <c r="S100" i="2"/>
  <c r="R100" i="2"/>
  <c r="Q100" i="2"/>
  <c r="J103" i="2"/>
  <c r="P103" i="2"/>
  <c r="AH103" i="2"/>
  <c r="AR103" i="2"/>
  <c r="BF103" i="2"/>
  <c r="J102" i="2"/>
  <c r="P102" i="2"/>
  <c r="AH102" i="2"/>
  <c r="AR102" i="2"/>
  <c r="BF102" i="2"/>
  <c r="J101" i="2"/>
  <c r="P101" i="2"/>
  <c r="AH101" i="2"/>
  <c r="AR101" i="2"/>
  <c r="BF101" i="2"/>
  <c r="J100" i="2"/>
  <c r="AP99" i="2"/>
  <c r="AV99" i="2"/>
  <c r="J99" i="2"/>
  <c r="O99" i="2"/>
  <c r="Q99" i="2"/>
  <c r="R99" i="2"/>
  <c r="S99" i="2"/>
  <c r="W99" i="2"/>
  <c r="X99" i="2"/>
  <c r="Y99" i="2"/>
  <c r="AA99" i="2"/>
  <c r="AC99" i="2"/>
  <c r="AD99" i="2"/>
  <c r="AE99" i="2"/>
  <c r="AF99" i="2"/>
  <c r="AG99" i="2"/>
  <c r="AL99" i="2"/>
  <c r="AM99" i="2"/>
  <c r="AN99" i="2"/>
  <c r="AO99" i="2"/>
  <c r="AQ99" i="2"/>
  <c r="AT99" i="2"/>
  <c r="AW99" i="2"/>
  <c r="AX99" i="2"/>
  <c r="AY99" i="2"/>
  <c r="BG99" i="2"/>
  <c r="BH99" i="2"/>
  <c r="BI99" i="2"/>
  <c r="BJ99" i="2"/>
  <c r="BK99" i="2"/>
  <c r="BL99" i="2"/>
  <c r="BN99" i="2"/>
  <c r="P99" i="2"/>
  <c r="AH99" i="2"/>
  <c r="AR99" i="2"/>
  <c r="BF99" i="2"/>
  <c r="P100" i="2"/>
  <c r="AH100" i="2"/>
  <c r="AR100" i="2"/>
  <c r="BF100" i="2"/>
  <c r="AP98" i="2"/>
  <c r="AV98" i="2"/>
  <c r="J98" i="2"/>
  <c r="O98" i="2"/>
  <c r="Q98" i="2"/>
  <c r="R98" i="2"/>
  <c r="S98" i="2"/>
  <c r="W98" i="2"/>
  <c r="X98" i="2"/>
  <c r="Y98" i="2"/>
  <c r="AA98" i="2"/>
  <c r="AC98" i="2"/>
  <c r="AD98" i="2"/>
  <c r="AE98" i="2"/>
  <c r="AF98" i="2"/>
  <c r="AG98" i="2"/>
  <c r="AL98" i="2"/>
  <c r="AM98" i="2"/>
  <c r="AN98" i="2"/>
  <c r="AO98" i="2"/>
  <c r="AQ98" i="2"/>
  <c r="AT98" i="2"/>
  <c r="AW98" i="2"/>
  <c r="AX98" i="2"/>
  <c r="AY98" i="2"/>
  <c r="BG98" i="2"/>
  <c r="BH98" i="2"/>
  <c r="BI98" i="2"/>
  <c r="BJ98" i="2"/>
  <c r="BK98" i="2"/>
  <c r="BL98" i="2"/>
  <c r="BN98" i="2"/>
  <c r="P98" i="2"/>
  <c r="AH98" i="2"/>
  <c r="AR98" i="2"/>
  <c r="BF98" i="2"/>
  <c r="J125" i="2"/>
  <c r="BL125" i="2"/>
  <c r="BK125" i="2"/>
  <c r="BH125" i="2"/>
  <c r="BG125" i="2"/>
  <c r="AY125" i="2"/>
  <c r="BO125" i="2" s="1"/>
  <c r="AX125" i="2"/>
  <c r="AW125" i="2"/>
  <c r="AM125" i="2"/>
  <c r="AL125" i="2"/>
  <c r="AH126" i="2"/>
  <c r="AG125" i="2"/>
  <c r="AF125" i="2"/>
  <c r="AE125" i="2"/>
  <c r="AD125" i="2"/>
  <c r="AC125" i="2"/>
  <c r="AA125" i="2"/>
  <c r="X125" i="2"/>
  <c r="W125" i="2"/>
  <c r="R125" i="2"/>
  <c r="Q125" i="2"/>
  <c r="O125" i="2"/>
  <c r="S125" i="2"/>
  <c r="Y125" i="2"/>
  <c r="R49" i="2"/>
  <c r="AA49" i="2"/>
  <c r="AD49" i="2"/>
  <c r="AG49" i="2"/>
  <c r="AW49" i="2"/>
  <c r="AX49" i="2"/>
  <c r="AY49" i="2"/>
  <c r="BL49" i="2"/>
  <c r="BK49" i="2"/>
  <c r="BI49" i="2"/>
  <c r="BH49" i="2"/>
  <c r="BL151" i="2"/>
  <c r="BK151" i="2"/>
  <c r="BH151" i="2"/>
  <c r="BG151" i="2"/>
  <c r="AY151" i="2"/>
  <c r="AX151" i="2"/>
  <c r="AW151" i="2"/>
  <c r="AV151" i="2"/>
  <c r="BO151" i="2" s="1"/>
  <c r="AM151" i="2"/>
  <c r="AL151" i="2"/>
  <c r="AH151" i="2"/>
  <c r="AG151" i="2"/>
  <c r="AF151" i="2"/>
  <c r="AE151" i="2"/>
  <c r="AD151" i="2"/>
  <c r="AC151" i="2"/>
  <c r="AA151" i="2"/>
  <c r="Y151" i="2"/>
  <c r="X151" i="2"/>
  <c r="W151" i="2"/>
  <c r="S151" i="2"/>
  <c r="R151" i="2"/>
  <c r="Q151" i="2"/>
  <c r="O151" i="2"/>
  <c r="J151" i="2"/>
  <c r="AY195" i="2"/>
  <c r="AY196" i="2"/>
  <c r="AY197" i="2"/>
  <c r="AY198" i="2"/>
  <c r="AY199" i="2"/>
  <c r="AY200" i="2"/>
  <c r="AY201" i="2"/>
  <c r="AY202" i="2"/>
  <c r="AY207" i="2"/>
  <c r="AY208" i="2"/>
  <c r="BK233" i="2"/>
  <c r="BI233" i="2"/>
  <c r="BK264" i="2"/>
  <c r="BI264" i="2"/>
  <c r="AY233" i="2"/>
  <c r="AX233" i="2"/>
  <c r="AY264" i="2"/>
  <c r="AX264" i="2"/>
  <c r="AV233" i="2"/>
  <c r="AV264" i="2"/>
  <c r="AR233" i="2"/>
  <c r="AP233" i="2"/>
  <c r="AO233" i="2"/>
  <c r="AN233" i="2"/>
  <c r="AP264" i="2"/>
  <c r="AO264" i="2"/>
  <c r="AN264" i="2"/>
  <c r="AH233" i="2"/>
  <c r="AA233" i="2"/>
  <c r="AA264" i="2"/>
  <c r="O233" i="2"/>
  <c r="O264" i="2"/>
  <c r="J233" i="2"/>
  <c r="J264" i="2"/>
  <c r="BP280" i="2"/>
  <c r="BP279" i="2"/>
  <c r="BP278" i="2"/>
  <c r="BP276" i="2"/>
  <c r="BP275" i="2"/>
  <c r="BP274" i="2"/>
  <c r="BP268" i="2"/>
  <c r="BO279" i="2"/>
  <c r="BO278" i="2"/>
  <c r="BO276" i="2"/>
  <c r="BO275" i="2"/>
  <c r="BO274" i="2"/>
  <c r="BO268" i="2"/>
  <c r="O131" i="2"/>
  <c r="Q131" i="2"/>
  <c r="R131" i="2"/>
  <c r="S131" i="2"/>
  <c r="W131" i="2"/>
  <c r="X131" i="2"/>
  <c r="Y131" i="2"/>
  <c r="AA131" i="2"/>
  <c r="AC131" i="2"/>
  <c r="AD131" i="2"/>
  <c r="AE131" i="2"/>
  <c r="AF131" i="2"/>
  <c r="AG131" i="2"/>
  <c r="AH131" i="2"/>
  <c r="AL131" i="2"/>
  <c r="AM131" i="2"/>
  <c r="AW131" i="2"/>
  <c r="AX131" i="2"/>
  <c r="AY131" i="2"/>
  <c r="BO131" i="2" s="1"/>
  <c r="BG131" i="2"/>
  <c r="BH131" i="2"/>
  <c r="BK131" i="2"/>
  <c r="BL131" i="2"/>
  <c r="BL123" i="2"/>
  <c r="BK123" i="2"/>
  <c r="BH123" i="2"/>
  <c r="BG123" i="2"/>
  <c r="AY123" i="2"/>
  <c r="BO123" i="2" s="1"/>
  <c r="AX123" i="2"/>
  <c r="AW123" i="2"/>
  <c r="AM123" i="2"/>
  <c r="AL123" i="2"/>
  <c r="AH123" i="2"/>
  <c r="AG123" i="2"/>
  <c r="AF123" i="2"/>
  <c r="AE123" i="2"/>
  <c r="AD123" i="2"/>
  <c r="AC123" i="2"/>
  <c r="AA123" i="2"/>
  <c r="Y123" i="2"/>
  <c r="X123" i="2"/>
  <c r="W123" i="2"/>
  <c r="S123" i="2"/>
  <c r="R123" i="2"/>
  <c r="Q123" i="2"/>
  <c r="O123" i="2"/>
  <c r="BF93" i="2"/>
  <c r="BF83" i="2"/>
  <c r="BF79" i="2"/>
  <c r="BF78" i="2"/>
  <c r="BF75" i="2"/>
  <c r="BF69" i="2"/>
  <c r="BF66" i="2"/>
  <c r="BF65" i="2"/>
  <c r="BF60" i="2"/>
  <c r="BF53" i="2"/>
  <c r="BF44" i="2"/>
  <c r="BF43" i="2"/>
  <c r="BF42" i="2"/>
  <c r="BF41" i="2"/>
  <c r="BF39" i="2"/>
  <c r="BF37" i="2"/>
  <c r="AR95" i="2"/>
  <c r="AR94" i="2"/>
  <c r="AR93" i="2"/>
  <c r="AR86" i="2"/>
  <c r="AR85" i="2"/>
  <c r="AR83" i="2"/>
  <c r="AR79" i="2"/>
  <c r="AR78" i="2"/>
  <c r="AR75" i="2"/>
  <c r="AR70" i="2"/>
  <c r="AR69" i="2"/>
  <c r="AR63" i="2"/>
  <c r="AR60" i="2"/>
  <c r="AR57" i="2"/>
  <c r="AR53" i="2"/>
  <c r="AR45" i="2"/>
  <c r="AR44" i="2"/>
  <c r="AR43" i="2"/>
  <c r="AR42" i="2"/>
  <c r="AR41" i="2"/>
  <c r="AR39" i="2"/>
  <c r="AR37" i="2"/>
  <c r="J215" i="2"/>
  <c r="AN215" i="2"/>
  <c r="AO215" i="2"/>
  <c r="J216" i="2"/>
  <c r="AN216" i="2"/>
  <c r="AO216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R209" i="2"/>
  <c r="AR192" i="2"/>
  <c r="AR191" i="2"/>
  <c r="AR190" i="2"/>
  <c r="AR189" i="2"/>
  <c r="AR188" i="2"/>
  <c r="AR187" i="2"/>
  <c r="AR186" i="2"/>
  <c r="AR185" i="2"/>
  <c r="AR184" i="2"/>
  <c r="AR183" i="2"/>
  <c r="AR182" i="2"/>
  <c r="AR181" i="2"/>
  <c r="AR180" i="2"/>
  <c r="AR179" i="2"/>
  <c r="AR178" i="2"/>
  <c r="AR177" i="2"/>
  <c r="AR176" i="2"/>
  <c r="AR175" i="2"/>
  <c r="AR174" i="2"/>
  <c r="AR173" i="2"/>
  <c r="AR172" i="2"/>
  <c r="AR171" i="2"/>
  <c r="AR170" i="2"/>
  <c r="AR169" i="2"/>
  <c r="AR168" i="2"/>
  <c r="AR167" i="2"/>
  <c r="AR166" i="2"/>
  <c r="AR165" i="2"/>
  <c r="AR164" i="2"/>
  <c r="AR163" i="2"/>
  <c r="AR162" i="2"/>
  <c r="AR161" i="2"/>
  <c r="AR160" i="2"/>
  <c r="AR159" i="2"/>
  <c r="AR157" i="2"/>
  <c r="AR155" i="2"/>
  <c r="AR154" i="2"/>
  <c r="AH154" i="2"/>
  <c r="AH155" i="2"/>
  <c r="AH157" i="2"/>
  <c r="AH159" i="2"/>
  <c r="AH160" i="2"/>
  <c r="AH161" i="2"/>
  <c r="AH162" i="2"/>
  <c r="AH163" i="2"/>
  <c r="AH164" i="2"/>
  <c r="AH165" i="2"/>
  <c r="AH166" i="2"/>
  <c r="AH167" i="2"/>
  <c r="AH168" i="2"/>
  <c r="AH170" i="2"/>
  <c r="AH169" i="2"/>
  <c r="AH172" i="2"/>
  <c r="AH171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J192" i="2"/>
  <c r="J191" i="2"/>
  <c r="J190" i="2"/>
  <c r="J189" i="2"/>
  <c r="J188" i="2"/>
  <c r="J187" i="2"/>
  <c r="J186" i="2"/>
  <c r="J185" i="2"/>
  <c r="J208" i="2"/>
  <c r="J184" i="2"/>
  <c r="J183" i="2"/>
  <c r="J182" i="2"/>
  <c r="J181" i="2"/>
  <c r="J180" i="2"/>
  <c r="J179" i="2"/>
  <c r="J207" i="2"/>
  <c r="J206" i="2"/>
  <c r="J205" i="2"/>
  <c r="J178" i="2"/>
  <c r="J204" i="2"/>
  <c r="J203" i="2"/>
  <c r="J177" i="2"/>
  <c r="J176" i="2"/>
  <c r="J175" i="2"/>
  <c r="J174" i="2"/>
  <c r="J173" i="2"/>
  <c r="J172" i="2"/>
  <c r="AO192" i="2"/>
  <c r="AN192" i="2"/>
  <c r="AO191" i="2"/>
  <c r="AN191" i="2"/>
  <c r="AO190" i="2"/>
  <c r="AN190" i="2"/>
  <c r="AO189" i="2"/>
  <c r="AN189" i="2"/>
  <c r="AO188" i="2"/>
  <c r="AN188" i="2"/>
  <c r="AO187" i="2"/>
  <c r="AN187" i="2"/>
  <c r="AO186" i="2"/>
  <c r="AN186" i="2"/>
  <c r="AO185" i="2"/>
  <c r="AN185" i="2"/>
  <c r="AO208" i="2"/>
  <c r="AN208" i="2"/>
  <c r="AO184" i="2"/>
  <c r="AN184" i="2"/>
  <c r="AO183" i="2"/>
  <c r="AN183" i="2"/>
  <c r="AO182" i="2"/>
  <c r="AN182" i="2"/>
  <c r="AO181" i="2"/>
  <c r="AN181" i="2"/>
  <c r="AO180" i="2"/>
  <c r="AN180" i="2"/>
  <c r="AO179" i="2"/>
  <c r="AN179" i="2"/>
  <c r="AO207" i="2"/>
  <c r="AN207" i="2"/>
  <c r="AO206" i="2"/>
  <c r="AN206" i="2"/>
  <c r="AO205" i="2"/>
  <c r="AN205" i="2"/>
  <c r="AO178" i="2"/>
  <c r="AN178" i="2"/>
  <c r="AO204" i="2"/>
  <c r="AN204" i="2"/>
  <c r="AO203" i="2"/>
  <c r="AN203" i="2"/>
  <c r="AO177" i="2"/>
  <c r="AN177" i="2"/>
  <c r="AO176" i="2"/>
  <c r="AN176" i="2"/>
  <c r="AO175" i="2"/>
  <c r="AN175" i="2"/>
  <c r="AO174" i="2"/>
  <c r="AN174" i="2"/>
  <c r="AO173" i="2"/>
  <c r="AN173" i="2"/>
  <c r="AO172" i="2"/>
  <c r="AN172" i="2"/>
  <c r="BL192" i="2"/>
  <c r="BL191" i="2"/>
  <c r="BL190" i="2"/>
  <c r="BL188" i="2"/>
  <c r="BL187" i="2"/>
  <c r="BL186" i="2"/>
  <c r="BL184" i="2"/>
  <c r="BL183" i="2"/>
  <c r="BL182" i="2"/>
  <c r="BL181" i="2"/>
  <c r="BL180" i="2"/>
  <c r="BL179" i="2"/>
  <c r="BL178" i="2"/>
  <c r="BL177" i="2"/>
  <c r="BL176" i="2"/>
  <c r="BL175" i="2"/>
  <c r="BL174" i="2"/>
  <c r="BL173" i="2"/>
  <c r="BL172" i="2"/>
  <c r="BN192" i="2"/>
  <c r="BN191" i="2"/>
  <c r="BN190" i="2"/>
  <c r="BN188" i="2"/>
  <c r="BN187" i="2"/>
  <c r="BN186" i="2"/>
  <c r="BN184" i="2"/>
  <c r="BN183" i="2"/>
  <c r="BN182" i="2"/>
  <c r="BN181" i="2"/>
  <c r="BN180" i="2"/>
  <c r="BN179" i="2"/>
  <c r="BN178" i="2"/>
  <c r="BN177" i="2"/>
  <c r="BN176" i="2"/>
  <c r="BN175" i="2"/>
  <c r="BN174" i="2"/>
  <c r="BN173" i="2"/>
  <c r="BN172" i="2"/>
  <c r="BK192" i="2"/>
  <c r="BJ192" i="2"/>
  <c r="BI192" i="2"/>
  <c r="BK191" i="2"/>
  <c r="BJ191" i="2"/>
  <c r="BI191" i="2"/>
  <c r="BK190" i="2"/>
  <c r="BJ190" i="2"/>
  <c r="BI190" i="2"/>
  <c r="BK189" i="2"/>
  <c r="BI189" i="2"/>
  <c r="BK188" i="2"/>
  <c r="BJ188" i="2"/>
  <c r="BI188" i="2"/>
  <c r="BK187" i="2"/>
  <c r="BJ187" i="2"/>
  <c r="BI187" i="2"/>
  <c r="BK186" i="2"/>
  <c r="BJ186" i="2"/>
  <c r="BI186" i="2"/>
  <c r="BK185" i="2"/>
  <c r="BI185" i="2"/>
  <c r="BK208" i="2"/>
  <c r="BI208" i="2"/>
  <c r="BK184" i="2"/>
  <c r="BJ184" i="2"/>
  <c r="BI184" i="2"/>
  <c r="BK183" i="2"/>
  <c r="BJ183" i="2"/>
  <c r="BI183" i="2"/>
  <c r="BK182" i="2"/>
  <c r="BJ182" i="2"/>
  <c r="BI182" i="2"/>
  <c r="BK181" i="2"/>
  <c r="BJ181" i="2"/>
  <c r="BI181" i="2"/>
  <c r="BK180" i="2"/>
  <c r="BJ180" i="2"/>
  <c r="BI180" i="2"/>
  <c r="BK179" i="2"/>
  <c r="BJ179" i="2"/>
  <c r="BI179" i="2"/>
  <c r="BK207" i="2"/>
  <c r="BI207" i="2"/>
  <c r="BK206" i="2"/>
  <c r="BI206" i="2"/>
  <c r="BK205" i="2"/>
  <c r="BI205" i="2"/>
  <c r="BK178" i="2"/>
  <c r="BJ178" i="2"/>
  <c r="BI178" i="2"/>
  <c r="BK204" i="2"/>
  <c r="BI204" i="2"/>
  <c r="BK203" i="2"/>
  <c r="BI203" i="2"/>
  <c r="BK177" i="2"/>
  <c r="BJ177" i="2"/>
  <c r="BI177" i="2"/>
  <c r="BK176" i="2"/>
  <c r="BJ176" i="2"/>
  <c r="BI176" i="2"/>
  <c r="BK175" i="2"/>
  <c r="BJ175" i="2"/>
  <c r="BI175" i="2"/>
  <c r="BK174" i="2"/>
  <c r="BJ174" i="2"/>
  <c r="BI174" i="2"/>
  <c r="BK173" i="2"/>
  <c r="BJ173" i="2"/>
  <c r="BI173" i="2"/>
  <c r="BK172" i="2"/>
  <c r="BJ172" i="2"/>
  <c r="BI172" i="2"/>
  <c r="AY192" i="2"/>
  <c r="AY191" i="2"/>
  <c r="AY190" i="2"/>
  <c r="AY189" i="2"/>
  <c r="AY188" i="2"/>
  <c r="AY187" i="2"/>
  <c r="AY186" i="2"/>
  <c r="AY185" i="2"/>
  <c r="AY184" i="2"/>
  <c r="AY183" i="2"/>
  <c r="AY182" i="2"/>
  <c r="AY181" i="2"/>
  <c r="AY180" i="2"/>
  <c r="AY179" i="2"/>
  <c r="AY206" i="2"/>
  <c r="AY205" i="2"/>
  <c r="AY178" i="2"/>
  <c r="AY204" i="2"/>
  <c r="AY203" i="2"/>
  <c r="AY177" i="2"/>
  <c r="AY176" i="2"/>
  <c r="AY175" i="2"/>
  <c r="AY174" i="2"/>
  <c r="AY173" i="2"/>
  <c r="AY172" i="2"/>
  <c r="AX192" i="2"/>
  <c r="AX191" i="2"/>
  <c r="AX190" i="2"/>
  <c r="AX189" i="2"/>
  <c r="AX188" i="2"/>
  <c r="AX187" i="2"/>
  <c r="AX186" i="2"/>
  <c r="AX185" i="2"/>
  <c r="AX208" i="2"/>
  <c r="AX184" i="2"/>
  <c r="AX183" i="2"/>
  <c r="AX182" i="2"/>
  <c r="AX181" i="2"/>
  <c r="AX180" i="2"/>
  <c r="AX179" i="2"/>
  <c r="AX207" i="2"/>
  <c r="AX206" i="2"/>
  <c r="AX205" i="2"/>
  <c r="AX178" i="2"/>
  <c r="AX204" i="2"/>
  <c r="AX203" i="2"/>
  <c r="AX177" i="2"/>
  <c r="AX176" i="2"/>
  <c r="AX175" i="2"/>
  <c r="AX174" i="2"/>
  <c r="AX173" i="2"/>
  <c r="AX172" i="2"/>
  <c r="AW192" i="2"/>
  <c r="AV192" i="2"/>
  <c r="AW191" i="2"/>
  <c r="AV191" i="2"/>
  <c r="AW190" i="2"/>
  <c r="AV190" i="2"/>
  <c r="AV189" i="2"/>
  <c r="AW188" i="2"/>
  <c r="AV188" i="2"/>
  <c r="AW187" i="2"/>
  <c r="AV187" i="2"/>
  <c r="AW186" i="2"/>
  <c r="AV186" i="2"/>
  <c r="AV185" i="2"/>
  <c r="AV208" i="2"/>
  <c r="AW184" i="2"/>
  <c r="AV184" i="2"/>
  <c r="AW183" i="2"/>
  <c r="AV183" i="2"/>
  <c r="AW182" i="2"/>
  <c r="AV182" i="2"/>
  <c r="AW181" i="2"/>
  <c r="AV181" i="2"/>
  <c r="AW180" i="2"/>
  <c r="AV180" i="2"/>
  <c r="AW179" i="2"/>
  <c r="AV179" i="2"/>
  <c r="AV207" i="2"/>
  <c r="AV206" i="2"/>
  <c r="AV205" i="2"/>
  <c r="AW178" i="2"/>
  <c r="AV178" i="2"/>
  <c r="AV204" i="2"/>
  <c r="AV203" i="2"/>
  <c r="AW177" i="2"/>
  <c r="AV177" i="2"/>
  <c r="AW176" i="2"/>
  <c r="AV176" i="2"/>
  <c r="AW175" i="2"/>
  <c r="AV175" i="2"/>
  <c r="AW174" i="2"/>
  <c r="AV174" i="2"/>
  <c r="AW173" i="2"/>
  <c r="AV173" i="2"/>
  <c r="AW172" i="2"/>
  <c r="AV172" i="2"/>
  <c r="AT192" i="2"/>
  <c r="AT191" i="2"/>
  <c r="AT190" i="2"/>
  <c r="AT188" i="2"/>
  <c r="AT187" i="2"/>
  <c r="AT186" i="2"/>
  <c r="AT184" i="2"/>
  <c r="AT183" i="2"/>
  <c r="AT182" i="2"/>
  <c r="AT181" i="2"/>
  <c r="AT180" i="2"/>
  <c r="AT179" i="2"/>
  <c r="AT178" i="2"/>
  <c r="AT177" i="2"/>
  <c r="AT176" i="2"/>
  <c r="AT175" i="2"/>
  <c r="AT174" i="2"/>
  <c r="AT173" i="2"/>
  <c r="AT172" i="2"/>
  <c r="AS192" i="2"/>
  <c r="AS191" i="2"/>
  <c r="AS190" i="2"/>
  <c r="AS189" i="2"/>
  <c r="AS188" i="2"/>
  <c r="AS187" i="2"/>
  <c r="AS186" i="2"/>
  <c r="AS185" i="2"/>
  <c r="AS208" i="2"/>
  <c r="AS184" i="2"/>
  <c r="AS183" i="2"/>
  <c r="AS182" i="2"/>
  <c r="AS181" i="2"/>
  <c r="AS180" i="2"/>
  <c r="AS179" i="2"/>
  <c r="AS207" i="2"/>
  <c r="AS206" i="2"/>
  <c r="AS205" i="2"/>
  <c r="AS178" i="2"/>
  <c r="AS204" i="2"/>
  <c r="AS203" i="2"/>
  <c r="AS177" i="2"/>
  <c r="AS176" i="2"/>
  <c r="AS175" i="2"/>
  <c r="AS174" i="2"/>
  <c r="AS173" i="2"/>
  <c r="AS172" i="2"/>
  <c r="AQ192" i="2"/>
  <c r="AQ191" i="2"/>
  <c r="AQ190" i="2"/>
  <c r="AQ188" i="2"/>
  <c r="AQ187" i="2"/>
  <c r="AQ186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P192" i="2"/>
  <c r="AP191" i="2"/>
  <c r="AP190" i="2"/>
  <c r="AP189" i="2"/>
  <c r="AP188" i="2"/>
  <c r="AP187" i="2"/>
  <c r="AP186" i="2"/>
  <c r="AP185" i="2"/>
  <c r="AP208" i="2"/>
  <c r="AP184" i="2"/>
  <c r="AP183" i="2"/>
  <c r="AP182" i="2"/>
  <c r="AP181" i="2"/>
  <c r="AP180" i="2"/>
  <c r="AP179" i="2"/>
  <c r="AP207" i="2"/>
  <c r="AP206" i="2"/>
  <c r="AP205" i="2"/>
  <c r="AP178" i="2"/>
  <c r="AP204" i="2"/>
  <c r="AP203" i="2"/>
  <c r="AP177" i="2"/>
  <c r="AP176" i="2"/>
  <c r="AP175" i="2"/>
  <c r="AP174" i="2"/>
  <c r="AP173" i="2"/>
  <c r="AP172" i="2"/>
  <c r="AM192" i="2"/>
  <c r="AM191" i="2"/>
  <c r="AM190" i="2"/>
  <c r="AM188" i="2"/>
  <c r="AM187" i="2"/>
  <c r="AM186" i="2"/>
  <c r="AM184" i="2"/>
  <c r="AM183" i="2"/>
  <c r="AM182" i="2"/>
  <c r="AM181" i="2"/>
  <c r="AM180" i="2"/>
  <c r="AM179" i="2"/>
  <c r="AM178" i="2"/>
  <c r="AM177" i="2"/>
  <c r="AM176" i="2"/>
  <c r="AM175" i="2"/>
  <c r="AM174" i="2"/>
  <c r="AM173" i="2"/>
  <c r="AM172" i="2"/>
  <c r="AL192" i="2"/>
  <c r="AL191" i="2"/>
  <c r="AL190" i="2"/>
  <c r="AL188" i="2"/>
  <c r="AL187" i="2"/>
  <c r="AL186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F192" i="2"/>
  <c r="AF191" i="2"/>
  <c r="AF190" i="2"/>
  <c r="AF188" i="2"/>
  <c r="AF187" i="2"/>
  <c r="AF186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E192" i="2"/>
  <c r="AE191" i="2"/>
  <c r="AE190" i="2"/>
  <c r="AE188" i="2"/>
  <c r="AE187" i="2"/>
  <c r="AE186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A192" i="2"/>
  <c r="AA191" i="2"/>
  <c r="AA190" i="2"/>
  <c r="AA189" i="2"/>
  <c r="AA188" i="2"/>
  <c r="AA187" i="2"/>
  <c r="AA186" i="2"/>
  <c r="AA185" i="2"/>
  <c r="AA208" i="2"/>
  <c r="AA184" i="2"/>
  <c r="AA183" i="2"/>
  <c r="AA182" i="2"/>
  <c r="AA181" i="2"/>
  <c r="AA180" i="2"/>
  <c r="AA179" i="2"/>
  <c r="AA207" i="2"/>
  <c r="AA206" i="2"/>
  <c r="AA205" i="2"/>
  <c r="AA178" i="2"/>
  <c r="AA204" i="2"/>
  <c r="AA203" i="2"/>
  <c r="AA177" i="2"/>
  <c r="AA176" i="2"/>
  <c r="AA175" i="2"/>
  <c r="AA174" i="2"/>
  <c r="AA173" i="2"/>
  <c r="AA172" i="2"/>
  <c r="Y192" i="2"/>
  <c r="Y191" i="2"/>
  <c r="Y190" i="2"/>
  <c r="Y188" i="2"/>
  <c r="Y187" i="2"/>
  <c r="Y186" i="2"/>
  <c r="Y184" i="2"/>
  <c r="Y183" i="2"/>
  <c r="Y182" i="2"/>
  <c r="Y181" i="2"/>
  <c r="Y180" i="2"/>
  <c r="Y179" i="2"/>
  <c r="AH138" i="2"/>
  <c r="Y178" i="2"/>
  <c r="Y177" i="2"/>
  <c r="Y176" i="2"/>
  <c r="Y175" i="2"/>
  <c r="Y174" i="2"/>
  <c r="Y173" i="2"/>
  <c r="Y172" i="2"/>
  <c r="W180" i="2"/>
  <c r="W192" i="2"/>
  <c r="W191" i="2"/>
  <c r="W190" i="2"/>
  <c r="W188" i="2"/>
  <c r="W187" i="2"/>
  <c r="W186" i="2"/>
  <c r="W184" i="2"/>
  <c r="W183" i="2"/>
  <c r="W182" i="2"/>
  <c r="W181" i="2"/>
  <c r="W179" i="2"/>
  <c r="W178" i="2"/>
  <c r="W177" i="2"/>
  <c r="W176" i="2"/>
  <c r="W175" i="2"/>
  <c r="W174" i="2"/>
  <c r="W173" i="2"/>
  <c r="W172" i="2"/>
  <c r="S192" i="2"/>
  <c r="S191" i="2"/>
  <c r="S190" i="2"/>
  <c r="S188" i="2"/>
  <c r="S187" i="2"/>
  <c r="S186" i="2"/>
  <c r="S184" i="2"/>
  <c r="S183" i="2"/>
  <c r="S182" i="2"/>
  <c r="S181" i="2"/>
  <c r="S180" i="2"/>
  <c r="S179" i="2"/>
  <c r="S178" i="2"/>
  <c r="S177" i="2"/>
  <c r="S176" i="2"/>
  <c r="S175" i="2"/>
  <c r="S172" i="2"/>
  <c r="S174" i="2"/>
  <c r="S173" i="2"/>
  <c r="O192" i="2"/>
  <c r="O191" i="2"/>
  <c r="O190" i="2"/>
  <c r="O189" i="2"/>
  <c r="O188" i="2"/>
  <c r="O187" i="2"/>
  <c r="O186" i="2"/>
  <c r="O185" i="2"/>
  <c r="O208" i="2"/>
  <c r="O184" i="2"/>
  <c r="O183" i="2"/>
  <c r="O182" i="2"/>
  <c r="O181" i="2"/>
  <c r="O180" i="2"/>
  <c r="O179" i="2"/>
  <c r="O207" i="2"/>
  <c r="O206" i="2"/>
  <c r="O205" i="2"/>
  <c r="O178" i="2"/>
  <c r="O204" i="2"/>
  <c r="O203" i="2"/>
  <c r="O175" i="2"/>
  <c r="O177" i="2"/>
  <c r="O176" i="2"/>
  <c r="O174" i="2"/>
  <c r="O173" i="2"/>
  <c r="O172" i="2"/>
  <c r="O153" i="2"/>
  <c r="Q153" i="2"/>
  <c r="R153" i="2"/>
  <c r="S153" i="2"/>
  <c r="W153" i="2"/>
  <c r="X153" i="2"/>
  <c r="Y153" i="2"/>
  <c r="AA153" i="2"/>
  <c r="AC153" i="2"/>
  <c r="AD153" i="2"/>
  <c r="AE153" i="2"/>
  <c r="AF153" i="2"/>
  <c r="AG153" i="2"/>
  <c r="AH153" i="2"/>
  <c r="AL153" i="2"/>
  <c r="AM153" i="2"/>
  <c r="AV153" i="2"/>
  <c r="BO153" i="2" s="1"/>
  <c r="AW153" i="2"/>
  <c r="AX153" i="2"/>
  <c r="AY153" i="2"/>
  <c r="BG153" i="2"/>
  <c r="BH153" i="2"/>
  <c r="BK153" i="2"/>
  <c r="BL153" i="2"/>
  <c r="BN37" i="2"/>
  <c r="BN38" i="2"/>
  <c r="BL37" i="2"/>
  <c r="BL38" i="2"/>
  <c r="BK37" i="2"/>
  <c r="BK38" i="2"/>
  <c r="BJ37" i="2"/>
  <c r="BJ38" i="2"/>
  <c r="BI37" i="2"/>
  <c r="BI38" i="2"/>
  <c r="BH37" i="2"/>
  <c r="BH38" i="2"/>
  <c r="BJ49" i="2"/>
  <c r="BG37" i="2"/>
  <c r="BG38" i="2"/>
  <c r="AY37" i="2"/>
  <c r="AY38" i="2"/>
  <c r="AX37" i="2"/>
  <c r="AX38" i="2"/>
  <c r="AW37" i="2"/>
  <c r="AV37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Q89" i="2"/>
  <c r="AQ90" i="2"/>
  <c r="AQ91" i="2"/>
  <c r="AQ92" i="2"/>
  <c r="AQ93" i="2"/>
  <c r="AQ94" i="2"/>
  <c r="AQ95" i="2"/>
  <c r="AQ96" i="2"/>
  <c r="AQ97" i="2"/>
  <c r="AQ73" i="2"/>
  <c r="AQ74" i="2"/>
  <c r="AQ75" i="2"/>
  <c r="AQ76" i="2"/>
  <c r="AQ77" i="2"/>
  <c r="AQ78" i="2"/>
  <c r="AQ79" i="2"/>
  <c r="AQ80" i="2"/>
  <c r="AQ81" i="2"/>
  <c r="AQ83" i="2"/>
  <c r="AQ85" i="2"/>
  <c r="AQ86" i="2"/>
  <c r="AQ87" i="2"/>
  <c r="AQ88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36" i="2"/>
  <c r="AP37" i="2"/>
  <c r="AP38" i="2"/>
  <c r="AO49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N49" i="2"/>
  <c r="AN37" i="2"/>
  <c r="AN38" i="2"/>
  <c r="AM49" i="2"/>
  <c r="AM37" i="2"/>
  <c r="AM38" i="2"/>
  <c r="AL37" i="2"/>
  <c r="AL49" i="2"/>
  <c r="AH49" i="2"/>
  <c r="AH50" i="2"/>
  <c r="AH37" i="2"/>
  <c r="AG37" i="2"/>
  <c r="AE49" i="2"/>
  <c r="AF37" i="2"/>
  <c r="AE37" i="2"/>
  <c r="AD37" i="2"/>
  <c r="AC49" i="2"/>
  <c r="Y49" i="2"/>
  <c r="X49" i="2"/>
  <c r="AC37" i="2"/>
  <c r="AA37" i="2"/>
  <c r="Y37" i="2"/>
  <c r="X37" i="2"/>
  <c r="W37" i="2"/>
  <c r="S37" i="2"/>
  <c r="R37" i="2"/>
  <c r="Q37" i="2"/>
  <c r="P91" i="2"/>
  <c r="P93" i="2"/>
  <c r="P94" i="2"/>
  <c r="P97" i="2"/>
  <c r="P71" i="2"/>
  <c r="P73" i="2"/>
  <c r="P74" i="2"/>
  <c r="P75" i="2"/>
  <c r="P76" i="2"/>
  <c r="P77" i="2"/>
  <c r="P78" i="2"/>
  <c r="P79" i="2"/>
  <c r="P81" i="2"/>
  <c r="P83" i="2"/>
  <c r="P85" i="2"/>
  <c r="P87" i="2"/>
  <c r="P89" i="2"/>
  <c r="P37" i="2"/>
  <c r="P38" i="2"/>
  <c r="P39" i="2"/>
  <c r="P41" i="2"/>
  <c r="P42" i="2"/>
  <c r="P43" i="2"/>
  <c r="P44" i="2"/>
  <c r="P45" i="2"/>
  <c r="P46" i="2"/>
  <c r="P49" i="2"/>
  <c r="P50" i="2"/>
  <c r="P51" i="2"/>
  <c r="P53" i="2"/>
  <c r="P54" i="2"/>
  <c r="P57" i="2"/>
  <c r="P58" i="2"/>
  <c r="P59" i="2"/>
  <c r="P60" i="2"/>
  <c r="P61" i="2"/>
  <c r="P62" i="2"/>
  <c r="P63" i="2"/>
  <c r="P65" i="2"/>
  <c r="P66" i="2"/>
  <c r="P67" i="2"/>
  <c r="P69" i="2"/>
  <c r="P70" i="2"/>
  <c r="P36" i="2"/>
  <c r="O37" i="2"/>
  <c r="BK263" i="2"/>
  <c r="BK229" i="2"/>
  <c r="BI263" i="2"/>
  <c r="BI229" i="2"/>
  <c r="AP263" i="2"/>
  <c r="AP229" i="2"/>
  <c r="AO263" i="2"/>
  <c r="AO229" i="2"/>
  <c r="AN263" i="2"/>
  <c r="AN229" i="2"/>
  <c r="J229" i="2"/>
  <c r="AO171" i="2"/>
  <c r="AO170" i="2"/>
  <c r="AO169" i="2"/>
  <c r="AO168" i="2"/>
  <c r="AN171" i="2"/>
  <c r="AN170" i="2"/>
  <c r="AN169" i="2"/>
  <c r="AN168" i="2"/>
  <c r="AO167" i="2"/>
  <c r="AO166" i="2"/>
  <c r="AO165" i="2"/>
  <c r="AO164" i="2"/>
  <c r="AO163" i="2"/>
  <c r="AO162" i="2"/>
  <c r="AO161" i="2"/>
  <c r="AO160" i="2"/>
  <c r="AO159" i="2"/>
  <c r="AO158" i="2"/>
  <c r="AO157" i="2"/>
  <c r="AO156" i="2"/>
  <c r="AO200" i="2"/>
  <c r="AO199" i="2"/>
  <c r="AO155" i="2"/>
  <c r="AO198" i="2"/>
  <c r="AO154" i="2"/>
  <c r="AO197" i="2"/>
  <c r="AO195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200" i="2"/>
  <c r="AN199" i="2"/>
  <c r="AN155" i="2"/>
  <c r="AN198" i="2"/>
  <c r="AN154" i="2"/>
  <c r="AN197" i="2"/>
  <c r="AN195" i="2"/>
  <c r="AP171" i="2"/>
  <c r="AP170" i="2"/>
  <c r="AP169" i="2"/>
  <c r="AP168" i="2"/>
  <c r="AP202" i="2"/>
  <c r="AP167" i="2"/>
  <c r="AP166" i="2"/>
  <c r="AP165" i="2"/>
  <c r="AP164" i="2"/>
  <c r="AP163" i="2"/>
  <c r="AP162" i="2"/>
  <c r="AP161" i="2"/>
  <c r="AP160" i="2"/>
  <c r="AP159" i="2"/>
  <c r="AP158" i="2"/>
  <c r="AP157" i="2"/>
  <c r="AP201" i="2"/>
  <c r="AP156" i="2"/>
  <c r="AP200" i="2"/>
  <c r="AP199" i="2"/>
  <c r="AP155" i="2"/>
  <c r="AP198" i="2"/>
  <c r="AP154" i="2"/>
  <c r="AP197" i="2"/>
  <c r="AP196" i="2"/>
  <c r="AP195" i="2"/>
  <c r="AW171" i="2"/>
  <c r="AW170" i="2"/>
  <c r="AW169" i="2"/>
  <c r="AW168" i="2"/>
  <c r="AW166" i="2"/>
  <c r="AW165" i="2"/>
  <c r="AW164" i="2"/>
  <c r="AW162" i="2"/>
  <c r="AW161" i="2"/>
  <c r="AW160" i="2"/>
  <c r="AW159" i="2"/>
  <c r="AW157" i="2"/>
  <c r="AW155" i="2"/>
  <c r="AW154" i="2"/>
  <c r="AW195" i="2"/>
  <c r="AV171" i="2"/>
  <c r="AV170" i="2"/>
  <c r="AV169" i="2"/>
  <c r="AV168" i="2"/>
  <c r="AV202" i="2"/>
  <c r="AV167" i="2"/>
  <c r="AV166" i="2"/>
  <c r="AV165" i="2"/>
  <c r="AV164" i="2"/>
  <c r="AV163" i="2"/>
  <c r="AV162" i="2"/>
  <c r="AV161" i="2"/>
  <c r="AV160" i="2"/>
  <c r="AV159" i="2"/>
  <c r="AV158" i="2"/>
  <c r="AV157" i="2"/>
  <c r="AV201" i="2"/>
  <c r="AV156" i="2"/>
  <c r="AV200" i="2"/>
  <c r="AV199" i="2"/>
  <c r="AV155" i="2"/>
  <c r="AV198" i="2"/>
  <c r="AV154" i="2"/>
  <c r="AV197" i="2"/>
  <c r="AV196" i="2"/>
  <c r="AV195" i="2"/>
  <c r="J199" i="2"/>
  <c r="J200" i="2"/>
  <c r="J156" i="2"/>
  <c r="J201" i="2"/>
  <c r="J157" i="2"/>
  <c r="J158" i="2"/>
  <c r="J159" i="2"/>
  <c r="J160" i="2"/>
  <c r="J161" i="2"/>
  <c r="J162" i="2"/>
  <c r="J163" i="2"/>
  <c r="J164" i="2"/>
  <c r="J165" i="2"/>
  <c r="J166" i="2"/>
  <c r="J167" i="2"/>
  <c r="J202" i="2"/>
  <c r="J168" i="2"/>
  <c r="J169" i="2"/>
  <c r="J170" i="2"/>
  <c r="J171" i="2"/>
  <c r="J209" i="2"/>
  <c r="J210" i="2"/>
  <c r="J211" i="2"/>
  <c r="J212" i="2"/>
  <c r="J246" i="2"/>
  <c r="J247" i="2"/>
  <c r="J248" i="2"/>
  <c r="J213" i="2"/>
  <c r="J214" i="2"/>
  <c r="J249" i="2"/>
  <c r="J250" i="2"/>
  <c r="J251" i="2"/>
  <c r="J217" i="2"/>
  <c r="J252" i="2"/>
  <c r="J253" i="2"/>
  <c r="J218" i="2"/>
  <c r="J219" i="2"/>
  <c r="J220" i="2"/>
  <c r="J221" i="2"/>
  <c r="J254" i="2"/>
  <c r="J255" i="2"/>
  <c r="J256" i="2"/>
  <c r="J222" i="2"/>
  <c r="J257" i="2"/>
  <c r="J258" i="2"/>
  <c r="J259" i="2"/>
  <c r="J223" i="2"/>
  <c r="J260" i="2"/>
  <c r="J261" i="2"/>
  <c r="J224" i="2"/>
  <c r="J225" i="2"/>
  <c r="J226" i="2"/>
  <c r="J227" i="2"/>
  <c r="J228" i="2"/>
  <c r="J115" i="2"/>
  <c r="J116" i="2"/>
  <c r="J118" i="2"/>
  <c r="J120" i="2"/>
  <c r="J121" i="2"/>
  <c r="J266" i="2"/>
  <c r="J37" i="2"/>
  <c r="J127" i="2"/>
  <c r="J267" i="2"/>
  <c r="J42" i="2"/>
  <c r="J130" i="2"/>
  <c r="J268" i="2"/>
  <c r="J132" i="2"/>
  <c r="J271" i="2"/>
  <c r="J134" i="2"/>
  <c r="J43" i="2"/>
  <c r="J136" i="2"/>
  <c r="J44" i="2"/>
  <c r="J139" i="2"/>
  <c r="J45" i="2"/>
  <c r="J49" i="2"/>
  <c r="J273" i="2"/>
  <c r="J140" i="2"/>
  <c r="J46" i="2"/>
  <c r="J47" i="2"/>
  <c r="J48" i="2"/>
  <c r="J57" i="2"/>
  <c r="J58" i="2"/>
  <c r="J142" i="2"/>
  <c r="J59" i="2"/>
  <c r="J262" i="2"/>
  <c r="J60" i="2"/>
  <c r="J61" i="2"/>
  <c r="J62" i="2"/>
  <c r="J63" i="2"/>
  <c r="J64" i="2"/>
  <c r="J50" i="2"/>
  <c r="J51" i="2"/>
  <c r="J52" i="2"/>
  <c r="J53" i="2"/>
  <c r="J54" i="2"/>
  <c r="J55" i="2"/>
  <c r="J56" i="2"/>
  <c r="J65" i="2"/>
  <c r="J66" i="2"/>
  <c r="J67" i="2"/>
  <c r="J276" i="2"/>
  <c r="J38" i="2"/>
  <c r="J39" i="2"/>
  <c r="J40" i="2"/>
  <c r="J36" i="2"/>
  <c r="J41" i="2"/>
  <c r="J277" i="2"/>
  <c r="J144" i="2"/>
  <c r="J68" i="2"/>
  <c r="J69" i="2"/>
  <c r="J278" i="2"/>
  <c r="J279" i="2"/>
  <c r="J92" i="2"/>
  <c r="J280" i="2"/>
  <c r="J281" i="2"/>
  <c r="J282" i="2"/>
  <c r="J93" i="2"/>
  <c r="J94" i="2"/>
  <c r="J146" i="2"/>
  <c r="J95" i="2"/>
  <c r="J147" i="2"/>
  <c r="J283" i="2"/>
  <c r="J148" i="2"/>
  <c r="J263" i="2"/>
  <c r="J284" i="2"/>
  <c r="J149" i="2"/>
  <c r="J96" i="2"/>
  <c r="J97" i="2"/>
  <c r="J285" i="2"/>
  <c r="J286" i="2"/>
  <c r="J150" i="2"/>
  <c r="J287" i="2"/>
  <c r="J70" i="2"/>
  <c r="J71" i="2"/>
  <c r="J72" i="2"/>
  <c r="J73" i="2"/>
  <c r="J74" i="2"/>
  <c r="J75" i="2"/>
  <c r="J76" i="2"/>
  <c r="J77" i="2"/>
  <c r="J78" i="2"/>
  <c r="J79" i="2"/>
  <c r="J80" i="2"/>
  <c r="J81" i="2"/>
  <c r="J83" i="2"/>
  <c r="J85" i="2"/>
  <c r="J86" i="2"/>
  <c r="J87" i="2"/>
  <c r="J88" i="2"/>
  <c r="J89" i="2"/>
  <c r="J90" i="2"/>
  <c r="J231" i="2"/>
  <c r="J232" i="2"/>
  <c r="J195" i="2"/>
  <c r="J196" i="2"/>
  <c r="J197" i="2"/>
  <c r="J154" i="2"/>
  <c r="J198" i="2"/>
  <c r="J155" i="2"/>
  <c r="J230" i="2"/>
  <c r="BL195" i="2"/>
  <c r="AQ21" i="2"/>
  <c r="AQ9" i="2"/>
  <c r="AQ8" i="2"/>
  <c r="AQ7" i="2"/>
  <c r="AQ23" i="2"/>
  <c r="AQ22" i="2"/>
  <c r="AQ20" i="2"/>
  <c r="AQ19" i="2"/>
  <c r="AQ18" i="2"/>
  <c r="AQ17" i="2"/>
  <c r="AQ16" i="2"/>
  <c r="AQ15" i="2"/>
  <c r="AQ14" i="2"/>
  <c r="AQ13" i="2"/>
  <c r="AQ12" i="2"/>
  <c r="AQ11" i="2"/>
  <c r="AQ10" i="2"/>
  <c r="AQ6" i="2"/>
  <c r="AQ5" i="2"/>
  <c r="AQ4" i="2"/>
  <c r="AQ3" i="2"/>
  <c r="AQ171" i="2"/>
  <c r="AQ170" i="2"/>
  <c r="AQ169" i="2"/>
  <c r="AQ168" i="2"/>
  <c r="AQ166" i="2"/>
  <c r="AQ165" i="2"/>
  <c r="AQ164" i="2"/>
  <c r="AQ162" i="2"/>
  <c r="AQ161" i="2"/>
  <c r="AQ160" i="2"/>
  <c r="AQ159" i="2"/>
  <c r="AQ157" i="2"/>
  <c r="AQ155" i="2"/>
  <c r="AQ154" i="2"/>
  <c r="AQ195" i="2"/>
  <c r="AY9" i="2"/>
  <c r="AY8" i="2"/>
  <c r="AY7" i="2"/>
  <c r="AY21" i="2"/>
  <c r="AY23" i="2"/>
  <c r="AY22" i="2"/>
  <c r="AY20" i="2"/>
  <c r="AY19" i="2"/>
  <c r="AY18" i="2"/>
  <c r="AY17" i="2"/>
  <c r="AY16" i="2"/>
  <c r="AY15" i="2"/>
  <c r="AY14" i="2"/>
  <c r="AY13" i="2"/>
  <c r="AY12" i="2"/>
  <c r="AY11" i="2"/>
  <c r="AY10" i="2"/>
  <c r="AY6" i="2"/>
  <c r="AY5" i="2"/>
  <c r="AY4" i="2"/>
  <c r="AY3" i="2"/>
  <c r="AY171" i="2"/>
  <c r="AX171" i="2"/>
  <c r="AX170" i="2"/>
  <c r="AX169" i="2"/>
  <c r="AX168" i="2"/>
  <c r="AX202" i="2"/>
  <c r="AX167" i="2"/>
  <c r="AX166" i="2"/>
  <c r="AX165" i="2"/>
  <c r="AX164" i="2"/>
  <c r="AX163" i="2"/>
  <c r="AX162" i="2"/>
  <c r="AX161" i="2"/>
  <c r="AX159" i="2"/>
  <c r="AX158" i="2"/>
  <c r="AX157" i="2"/>
  <c r="AX201" i="2"/>
  <c r="AX156" i="2"/>
  <c r="AX200" i="2"/>
  <c r="AX199" i="2"/>
  <c r="AX155" i="2"/>
  <c r="AX198" i="2"/>
  <c r="AX154" i="2"/>
  <c r="AX197" i="2"/>
  <c r="AX196" i="2"/>
  <c r="AX195" i="2"/>
  <c r="AY170" i="2"/>
  <c r="AY169" i="2"/>
  <c r="AY168" i="2"/>
  <c r="AY167" i="2"/>
  <c r="AY166" i="2"/>
  <c r="AY165" i="2"/>
  <c r="AY164" i="2"/>
  <c r="AY163" i="2"/>
  <c r="AY162" i="2"/>
  <c r="AY161" i="2"/>
  <c r="AY160" i="2"/>
  <c r="AY159" i="2"/>
  <c r="AY158" i="2"/>
  <c r="AY157" i="2"/>
  <c r="AY156" i="2"/>
  <c r="AY155" i="2"/>
  <c r="AY154" i="2"/>
  <c r="AX160" i="2"/>
  <c r="Y171" i="2"/>
  <c r="Y170" i="2"/>
  <c r="Y169" i="2"/>
  <c r="Y168" i="2"/>
  <c r="Y166" i="2"/>
  <c r="Y165" i="2"/>
  <c r="Y164" i="2"/>
  <c r="Y162" i="2"/>
  <c r="Y161" i="2"/>
  <c r="Y160" i="2"/>
  <c r="Y159" i="2"/>
  <c r="Y157" i="2"/>
  <c r="Y155" i="2"/>
  <c r="Y154" i="2"/>
  <c r="Y195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F5" i="2"/>
  <c r="BF4" i="2"/>
  <c r="BF3" i="2"/>
  <c r="AD4" i="2"/>
  <c r="AD3" i="2"/>
  <c r="AC4" i="2"/>
  <c r="AC3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BN23" i="2"/>
  <c r="BN22" i="2"/>
  <c r="BN21" i="2"/>
  <c r="BN20" i="2"/>
  <c r="BN19" i="2"/>
  <c r="BN18" i="2"/>
  <c r="BN17" i="2"/>
  <c r="BN16" i="2"/>
  <c r="BN15" i="2"/>
  <c r="BN14" i="2"/>
  <c r="BN13" i="2"/>
  <c r="BN12" i="2"/>
  <c r="BN11" i="2"/>
  <c r="BN10" i="2"/>
  <c r="BN9" i="2"/>
  <c r="BN8" i="2"/>
  <c r="BN7" i="2"/>
  <c r="BN6" i="2"/>
  <c r="BN5" i="2"/>
  <c r="BN4" i="2"/>
  <c r="BN171" i="2"/>
  <c r="BN170" i="2"/>
  <c r="BN169" i="2"/>
  <c r="BN168" i="2"/>
  <c r="BN166" i="2"/>
  <c r="BN165" i="2"/>
  <c r="BN164" i="2"/>
  <c r="BN162" i="2"/>
  <c r="BN161" i="2"/>
  <c r="BN160" i="2"/>
  <c r="BN159" i="2"/>
  <c r="BN157" i="2"/>
  <c r="BN155" i="2"/>
  <c r="BN154" i="2"/>
  <c r="BN195" i="2"/>
  <c r="BJ171" i="2"/>
  <c r="BJ170" i="2"/>
  <c r="BJ169" i="2"/>
  <c r="BJ168" i="2"/>
  <c r="BJ166" i="2"/>
  <c r="BJ165" i="2"/>
  <c r="BJ164" i="2"/>
  <c r="BJ162" i="2"/>
  <c r="BJ161" i="2"/>
  <c r="BJ160" i="2"/>
  <c r="BJ159" i="2"/>
  <c r="BJ157" i="2"/>
  <c r="BJ155" i="2"/>
  <c r="BJ154" i="2"/>
  <c r="BJ195" i="2"/>
  <c r="BI171" i="2"/>
  <c r="BI170" i="2"/>
  <c r="BI169" i="2"/>
  <c r="BI168" i="2"/>
  <c r="BI202" i="2"/>
  <c r="BI167" i="2"/>
  <c r="BI166" i="2"/>
  <c r="BI165" i="2"/>
  <c r="BI164" i="2"/>
  <c r="BI163" i="2"/>
  <c r="BI162" i="2"/>
  <c r="BI161" i="2"/>
  <c r="BI160" i="2"/>
  <c r="BI159" i="2"/>
  <c r="BI158" i="2"/>
  <c r="BI157" i="2"/>
  <c r="BI201" i="2"/>
  <c r="BI156" i="2"/>
  <c r="BI200" i="2"/>
  <c r="BI199" i="2"/>
  <c r="BI155" i="2"/>
  <c r="BI198" i="2"/>
  <c r="BI154" i="2"/>
  <c r="BI197" i="2"/>
  <c r="BI196" i="2"/>
  <c r="BI195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K6" i="2"/>
  <c r="BK5" i="2"/>
  <c r="BK4" i="2"/>
  <c r="BK3" i="2"/>
  <c r="BK171" i="2"/>
  <c r="BK170" i="2"/>
  <c r="BK169" i="2"/>
  <c r="BK168" i="2"/>
  <c r="BK202" i="2"/>
  <c r="BK167" i="2"/>
  <c r="BK166" i="2"/>
  <c r="BK165" i="2"/>
  <c r="BK164" i="2"/>
  <c r="BK163" i="2"/>
  <c r="BK162" i="2"/>
  <c r="BK161" i="2"/>
  <c r="BK160" i="2"/>
  <c r="BK159" i="2"/>
  <c r="BK158" i="2"/>
  <c r="BK157" i="2"/>
  <c r="BK201" i="2"/>
  <c r="BK156" i="2"/>
  <c r="BK200" i="2"/>
  <c r="BK199" i="2"/>
  <c r="BK155" i="2"/>
  <c r="BK198" i="2"/>
  <c r="BK154" i="2"/>
  <c r="BK197" i="2"/>
  <c r="BK196" i="2"/>
  <c r="BK195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L23" i="2"/>
  <c r="BL22" i="2"/>
  <c r="BL21" i="2"/>
  <c r="BL20" i="2"/>
  <c r="BL19" i="2"/>
  <c r="BL18" i="2"/>
  <c r="BL17" i="2"/>
  <c r="BL16" i="2"/>
  <c r="BL15" i="2"/>
  <c r="BL14" i="2"/>
  <c r="BL13" i="2"/>
  <c r="BL12" i="2"/>
  <c r="BL11" i="2"/>
  <c r="BL10" i="2"/>
  <c r="BL9" i="2"/>
  <c r="BL8" i="2"/>
  <c r="BL7" i="2"/>
  <c r="BL6" i="2"/>
  <c r="BL5" i="2"/>
  <c r="BL4" i="2"/>
  <c r="BL3" i="2"/>
  <c r="BL171" i="2"/>
  <c r="BL170" i="2"/>
  <c r="BL169" i="2"/>
  <c r="BL168" i="2"/>
  <c r="BL166" i="2"/>
  <c r="BL165" i="2"/>
  <c r="BL164" i="2"/>
  <c r="BL162" i="2"/>
  <c r="BL161" i="2"/>
  <c r="BL160" i="2"/>
  <c r="BL159" i="2"/>
  <c r="BL157" i="2"/>
  <c r="BL155" i="2"/>
  <c r="BL15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E171" i="2"/>
  <c r="AE170" i="2"/>
  <c r="AE169" i="2"/>
  <c r="AE168" i="2"/>
  <c r="AE166" i="2"/>
  <c r="AE165" i="2"/>
  <c r="AE164" i="2"/>
  <c r="AE162" i="2"/>
  <c r="AE161" i="2"/>
  <c r="AE160" i="2"/>
  <c r="AE159" i="2"/>
  <c r="AE157" i="2"/>
  <c r="AE155" i="2"/>
  <c r="AE154" i="2"/>
  <c r="AE195" i="2"/>
  <c r="AA171" i="2"/>
  <c r="AA170" i="2"/>
  <c r="AA169" i="2"/>
  <c r="AA168" i="2"/>
  <c r="AA202" i="2"/>
  <c r="AA167" i="2"/>
  <c r="AA166" i="2"/>
  <c r="AA165" i="2"/>
  <c r="AA164" i="2"/>
  <c r="AA163" i="2"/>
  <c r="AA162" i="2"/>
  <c r="AA161" i="2"/>
  <c r="AA160" i="2"/>
  <c r="AA159" i="2"/>
  <c r="AA158" i="2"/>
  <c r="AA157" i="2"/>
  <c r="AA201" i="2"/>
  <c r="AA156" i="2"/>
  <c r="AA200" i="2"/>
  <c r="AA199" i="2"/>
  <c r="AA155" i="2"/>
  <c r="AA198" i="2"/>
  <c r="AA154" i="2"/>
  <c r="AA197" i="2"/>
  <c r="AA196" i="2"/>
  <c r="AA195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W5" i="2"/>
  <c r="AW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0" i="2"/>
  <c r="AT9" i="2"/>
  <c r="AT8" i="2"/>
  <c r="AT7" i="2"/>
  <c r="AT6" i="2"/>
  <c r="AT5" i="2"/>
  <c r="AT4" i="2"/>
  <c r="AT171" i="2"/>
  <c r="AT170" i="2"/>
  <c r="AT169" i="2"/>
  <c r="AT168" i="2"/>
  <c r="AT166" i="2"/>
  <c r="AT165" i="2"/>
  <c r="AT164" i="2"/>
  <c r="AT162" i="2"/>
  <c r="AT161" i="2"/>
  <c r="AT160" i="2"/>
  <c r="AT159" i="2"/>
  <c r="AT157" i="2"/>
  <c r="AT155" i="2"/>
  <c r="AT154" i="2"/>
  <c r="AS171" i="2"/>
  <c r="AS170" i="2"/>
  <c r="AS169" i="2"/>
  <c r="AS168" i="2"/>
  <c r="AS202" i="2"/>
  <c r="AS167" i="2"/>
  <c r="AS166" i="2"/>
  <c r="AS165" i="2"/>
  <c r="AS164" i="2"/>
  <c r="AS163" i="2"/>
  <c r="AS162" i="2"/>
  <c r="AS161" i="2"/>
  <c r="AS160" i="2"/>
  <c r="AS159" i="2"/>
  <c r="AS158" i="2"/>
  <c r="AS157" i="2"/>
  <c r="AS201" i="2"/>
  <c r="AS156" i="2"/>
  <c r="AS200" i="2"/>
  <c r="AS199" i="2"/>
  <c r="AS155" i="2"/>
  <c r="AS198" i="2"/>
  <c r="AS154" i="2"/>
  <c r="AS197" i="2"/>
  <c r="AS196" i="2"/>
  <c r="AS195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M171" i="2"/>
  <c r="AM170" i="2"/>
  <c r="AM169" i="2"/>
  <c r="AM168" i="2"/>
  <c r="AM166" i="2"/>
  <c r="AM165" i="2"/>
  <c r="AM164" i="2"/>
  <c r="AM162" i="2"/>
  <c r="AM161" i="2"/>
  <c r="AM160" i="2"/>
  <c r="AM159" i="2"/>
  <c r="AM157" i="2"/>
  <c r="AM155" i="2"/>
  <c r="AM154" i="2"/>
  <c r="AM195" i="2"/>
  <c r="AL171" i="2"/>
  <c r="AL170" i="2"/>
  <c r="AL169" i="2"/>
  <c r="AL168" i="2"/>
  <c r="AL166" i="2"/>
  <c r="AL165" i="2"/>
  <c r="AL164" i="2"/>
  <c r="AL162" i="2"/>
  <c r="AL161" i="2"/>
  <c r="AL160" i="2"/>
  <c r="AL159" i="2"/>
  <c r="AL157" i="2"/>
  <c r="AL155" i="2"/>
  <c r="AL154" i="2"/>
  <c r="AL195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171" i="2"/>
  <c r="AF170" i="2"/>
  <c r="AF169" i="2"/>
  <c r="AF168" i="2"/>
  <c r="AF166" i="2"/>
  <c r="AF165" i="2"/>
  <c r="AF164" i="2"/>
  <c r="AF162" i="2"/>
  <c r="AF161" i="2"/>
  <c r="AF160" i="2"/>
  <c r="AF159" i="2"/>
  <c r="AF157" i="2"/>
  <c r="AF155" i="2"/>
  <c r="AF154" i="2"/>
  <c r="AF195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S23" i="2"/>
  <c r="S22" i="2"/>
  <c r="S21" i="2"/>
  <c r="S20" i="2"/>
  <c r="S19" i="2"/>
  <c r="S18" i="2"/>
  <c r="S17" i="2"/>
  <c r="S16" i="2"/>
  <c r="S15" i="2"/>
  <c r="S14" i="2"/>
  <c r="S13" i="2"/>
  <c r="S12" i="2"/>
  <c r="S10" i="2"/>
  <c r="S9" i="2"/>
  <c r="S8" i="2"/>
  <c r="S7" i="2"/>
  <c r="S6" i="2"/>
  <c r="S5" i="2"/>
  <c r="S4" i="2"/>
  <c r="W171" i="2"/>
  <c r="W170" i="2"/>
  <c r="W169" i="2"/>
  <c r="W168" i="2"/>
  <c r="W166" i="2"/>
  <c r="W165" i="2"/>
  <c r="W164" i="2"/>
  <c r="W162" i="2"/>
  <c r="W161" i="2"/>
  <c r="W160" i="2"/>
  <c r="W159" i="2"/>
  <c r="W157" i="2"/>
  <c r="W155" i="2"/>
  <c r="W154" i="2"/>
  <c r="W195" i="2"/>
  <c r="S171" i="2"/>
  <c r="S170" i="2"/>
  <c r="S169" i="2"/>
  <c r="S168" i="2"/>
  <c r="S166" i="2"/>
  <c r="S165" i="2"/>
  <c r="S164" i="2"/>
  <c r="S162" i="2"/>
  <c r="S161" i="2"/>
  <c r="S160" i="2"/>
  <c r="S159" i="2"/>
  <c r="S157" i="2"/>
  <c r="S155" i="2"/>
  <c r="S154" i="2"/>
  <c r="S195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171" i="2"/>
  <c r="O170" i="2"/>
  <c r="O169" i="2"/>
  <c r="O168" i="2"/>
  <c r="O202" i="2"/>
  <c r="O167" i="2"/>
  <c r="O166" i="2"/>
  <c r="O165" i="2"/>
  <c r="O164" i="2"/>
  <c r="O163" i="2"/>
  <c r="O162" i="2"/>
  <c r="O161" i="2"/>
  <c r="O160" i="2"/>
  <c r="O159" i="2"/>
  <c r="O158" i="2"/>
  <c r="O157" i="2"/>
  <c r="O201" i="2"/>
  <c r="O156" i="2"/>
  <c r="O200" i="2"/>
  <c r="O199" i="2"/>
  <c r="O155" i="2"/>
  <c r="O198" i="2"/>
  <c r="O154" i="2"/>
  <c r="O197" i="2"/>
  <c r="O196" i="2"/>
  <c r="O195" i="2"/>
  <c r="O3" i="2"/>
  <c r="W3" i="2"/>
  <c r="Y3" i="2"/>
  <c r="AF3" i="2"/>
  <c r="AG3" i="2"/>
  <c r="AL3" i="2"/>
  <c r="AT3" i="2"/>
  <c r="AW3" i="2"/>
  <c r="BG3" i="2"/>
  <c r="BN3" i="2"/>
  <c r="AR229" i="2"/>
  <c r="AH229" i="2"/>
  <c r="AY228" i="2"/>
  <c r="AY227" i="2"/>
  <c r="AY226" i="2"/>
  <c r="AY225" i="2"/>
  <c r="AY224" i="2"/>
  <c r="AY261" i="2"/>
  <c r="AY260" i="2"/>
  <c r="AY223" i="2"/>
  <c r="AY259" i="2"/>
  <c r="AY258" i="2"/>
  <c r="AY257" i="2"/>
  <c r="AY222" i="2"/>
  <c r="AY256" i="2"/>
  <c r="AY255" i="2"/>
  <c r="AY254" i="2"/>
  <c r="AY221" i="2"/>
  <c r="AY220" i="2"/>
  <c r="AY219" i="2"/>
  <c r="AY218" i="2"/>
  <c r="AY253" i="2"/>
  <c r="AY252" i="2"/>
  <c r="AY217" i="2"/>
  <c r="AY251" i="2"/>
  <c r="AY216" i="2"/>
  <c r="AY215" i="2"/>
  <c r="AY250" i="2"/>
  <c r="AY249" i="2"/>
  <c r="AY214" i="2"/>
  <c r="AY213" i="2"/>
  <c r="AY248" i="2"/>
  <c r="AY247" i="2"/>
  <c r="AY246" i="2"/>
  <c r="AY212" i="2"/>
  <c r="AY211" i="2"/>
  <c r="AY210" i="2"/>
  <c r="AY209" i="2"/>
  <c r="AY232" i="2"/>
  <c r="AY231" i="2"/>
  <c r="AY230" i="2"/>
  <c r="AY90" i="2"/>
  <c r="AY89" i="2"/>
  <c r="AY88" i="2"/>
  <c r="AY87" i="2"/>
  <c r="AY86" i="2"/>
  <c r="AY85" i="2"/>
  <c r="AY83" i="2"/>
  <c r="AY81" i="2"/>
  <c r="AY80" i="2"/>
  <c r="AY79" i="2"/>
  <c r="AY78" i="2"/>
  <c r="AY77" i="2"/>
  <c r="AY76" i="2"/>
  <c r="AY75" i="2"/>
  <c r="AY74" i="2"/>
  <c r="AY73" i="2"/>
  <c r="AY72" i="2"/>
  <c r="AY71" i="2"/>
  <c r="AY70" i="2"/>
  <c r="AY97" i="2"/>
  <c r="AY96" i="2"/>
  <c r="AY149" i="2"/>
  <c r="AY148" i="2"/>
  <c r="BO148" i="2" s="1"/>
  <c r="AY147" i="2"/>
  <c r="AY95" i="2"/>
  <c r="AY146" i="2"/>
  <c r="AY94" i="2"/>
  <c r="AY93" i="2"/>
  <c r="AY92" i="2"/>
  <c r="AY91" i="2"/>
  <c r="AY145" i="2"/>
  <c r="AY69" i="2"/>
  <c r="AY68" i="2"/>
  <c r="AY144" i="2"/>
  <c r="AY41" i="2"/>
  <c r="AY36" i="2"/>
  <c r="AY40" i="2"/>
  <c r="AY39" i="2"/>
  <c r="AY143" i="2"/>
  <c r="AY67" i="2"/>
  <c r="AY66" i="2"/>
  <c r="AY65" i="2"/>
  <c r="AY56" i="2"/>
  <c r="AY55" i="2"/>
  <c r="AY54" i="2"/>
  <c r="AY53" i="2"/>
  <c r="AY52" i="2"/>
  <c r="AY51" i="2"/>
  <c r="AY50" i="2"/>
  <c r="AY64" i="2"/>
  <c r="AY63" i="2"/>
  <c r="AY62" i="2"/>
  <c r="AY61" i="2"/>
  <c r="AY60" i="2"/>
  <c r="AY59" i="2"/>
  <c r="AY142" i="2"/>
  <c r="AY141" i="2"/>
  <c r="AY58" i="2"/>
  <c r="AY57" i="2"/>
  <c r="AY48" i="2"/>
  <c r="AY47" i="2"/>
  <c r="AY46" i="2"/>
  <c r="AY140" i="2"/>
  <c r="AY45" i="2"/>
  <c r="AY139" i="2"/>
  <c r="BO139" i="2" s="1"/>
  <c r="AY44" i="2"/>
  <c r="AY136" i="2"/>
  <c r="AY43" i="2"/>
  <c r="AY135" i="2"/>
  <c r="BO135" i="2" s="1"/>
  <c r="AY134" i="2"/>
  <c r="AY133" i="2"/>
  <c r="AY132" i="2"/>
  <c r="BO132" i="2" s="1"/>
  <c r="AY130" i="2"/>
  <c r="AY42" i="2"/>
  <c r="AY124" i="2"/>
  <c r="BO124" i="2" s="1"/>
  <c r="AY129" i="2"/>
  <c r="AY127" i="2"/>
  <c r="AY126" i="2"/>
  <c r="AY122" i="2"/>
  <c r="BO122" i="2" s="1"/>
  <c r="AY121" i="2"/>
  <c r="AY120" i="2"/>
  <c r="AY119" i="2"/>
  <c r="AY118" i="2"/>
  <c r="AY117" i="2"/>
  <c r="AY116" i="2"/>
  <c r="AY115" i="2"/>
  <c r="AY152" i="2"/>
  <c r="BH90" i="2"/>
  <c r="BH89" i="2"/>
  <c r="BH88" i="2"/>
  <c r="BH87" i="2"/>
  <c r="BH86" i="2"/>
  <c r="BH85" i="2"/>
  <c r="BH83" i="2"/>
  <c r="BH81" i="2"/>
  <c r="BH80" i="2"/>
  <c r="BH79" i="2"/>
  <c r="BH78" i="2"/>
  <c r="BH77" i="2"/>
  <c r="BH76" i="2"/>
  <c r="BH75" i="2"/>
  <c r="BH74" i="2"/>
  <c r="BH73" i="2"/>
  <c r="BH72" i="2"/>
  <c r="BH71" i="2"/>
  <c r="BH70" i="2"/>
  <c r="BH150" i="2"/>
  <c r="BH97" i="2"/>
  <c r="BH96" i="2"/>
  <c r="BH149" i="2"/>
  <c r="BH148" i="2"/>
  <c r="BH147" i="2"/>
  <c r="BH95" i="2"/>
  <c r="BH146" i="2"/>
  <c r="BH94" i="2"/>
  <c r="BH93" i="2"/>
  <c r="BH92" i="2"/>
  <c r="BH91" i="2"/>
  <c r="BH145" i="2"/>
  <c r="BH69" i="2"/>
  <c r="BH68" i="2"/>
  <c r="BH144" i="2"/>
  <c r="BH41" i="2"/>
  <c r="BH36" i="2"/>
  <c r="BH40" i="2"/>
  <c r="BH39" i="2"/>
  <c r="BH143" i="2"/>
  <c r="BH67" i="2"/>
  <c r="BH66" i="2"/>
  <c r="BH65" i="2"/>
  <c r="BH56" i="2"/>
  <c r="BH55" i="2"/>
  <c r="BH54" i="2"/>
  <c r="BH53" i="2"/>
  <c r="BH52" i="2"/>
  <c r="BH51" i="2"/>
  <c r="BH50" i="2"/>
  <c r="BH64" i="2"/>
  <c r="BH63" i="2"/>
  <c r="BH62" i="2"/>
  <c r="BH61" i="2"/>
  <c r="BH60" i="2"/>
  <c r="BH59" i="2"/>
  <c r="BH142" i="2"/>
  <c r="BH141" i="2"/>
  <c r="BH58" i="2"/>
  <c r="BH57" i="2"/>
  <c r="BH48" i="2"/>
  <c r="BH47" i="2"/>
  <c r="BH46" i="2"/>
  <c r="BH140" i="2"/>
  <c r="BH45" i="2"/>
  <c r="BH139" i="2"/>
  <c r="BH44" i="2"/>
  <c r="BH137" i="2"/>
  <c r="BH136" i="2"/>
  <c r="BH43" i="2"/>
  <c r="BH135" i="2"/>
  <c r="BH134" i="2"/>
  <c r="BH133" i="2"/>
  <c r="BH132" i="2"/>
  <c r="BH130" i="2"/>
  <c r="BH42" i="2"/>
  <c r="BH124" i="2"/>
  <c r="BH129" i="2"/>
  <c r="BH127" i="2"/>
  <c r="BH126" i="2"/>
  <c r="BH122" i="2"/>
  <c r="BH121" i="2"/>
  <c r="BH120" i="2"/>
  <c r="BH119" i="2"/>
  <c r="BH118" i="2"/>
  <c r="BH117" i="2"/>
  <c r="BH116" i="2"/>
  <c r="BH115" i="2"/>
  <c r="BH152" i="2"/>
  <c r="AX117" i="2"/>
  <c r="O263" i="2"/>
  <c r="O229" i="2"/>
  <c r="S49" i="2"/>
  <c r="Q49" i="2"/>
  <c r="AV225" i="2"/>
  <c r="O49" i="2"/>
  <c r="AA247" i="2"/>
  <c r="BK228" i="2"/>
  <c r="BK227" i="2"/>
  <c r="BK226" i="2"/>
  <c r="BK225" i="2"/>
  <c r="BK224" i="2"/>
  <c r="BK261" i="2"/>
  <c r="BK260" i="2"/>
  <c r="BK223" i="2"/>
  <c r="BK259" i="2"/>
  <c r="BK258" i="2"/>
  <c r="BK257" i="2"/>
  <c r="BK222" i="2"/>
  <c r="BK256" i="2"/>
  <c r="BK255" i="2"/>
  <c r="BK254" i="2"/>
  <c r="BK221" i="2"/>
  <c r="BK220" i="2"/>
  <c r="BK219" i="2"/>
  <c r="BK218" i="2"/>
  <c r="BK253" i="2"/>
  <c r="BK252" i="2"/>
  <c r="BK217" i="2"/>
  <c r="BK251" i="2"/>
  <c r="BK216" i="2"/>
  <c r="BK215" i="2"/>
  <c r="BK250" i="2"/>
  <c r="BK249" i="2"/>
  <c r="BK214" i="2"/>
  <c r="BK213" i="2"/>
  <c r="BK248" i="2"/>
  <c r="BK247" i="2"/>
  <c r="BK246" i="2"/>
  <c r="BK212" i="2"/>
  <c r="BK211" i="2"/>
  <c r="BK210" i="2"/>
  <c r="BK209" i="2"/>
  <c r="BK232" i="2"/>
  <c r="BK231" i="2"/>
  <c r="BK230" i="2"/>
  <c r="AV228" i="2"/>
  <c r="AV227" i="2"/>
  <c r="AV226" i="2"/>
  <c r="AV224" i="2"/>
  <c r="AV261" i="2"/>
  <c r="AV260" i="2"/>
  <c r="AV223" i="2"/>
  <c r="AV259" i="2"/>
  <c r="AV258" i="2"/>
  <c r="AV257" i="2"/>
  <c r="AV222" i="2"/>
  <c r="AV256" i="2"/>
  <c r="AV255" i="2"/>
  <c r="AV254" i="2"/>
  <c r="AV221" i="2"/>
  <c r="AV220" i="2"/>
  <c r="AV219" i="2"/>
  <c r="AV218" i="2"/>
  <c r="AV253" i="2"/>
  <c r="AV252" i="2"/>
  <c r="AV217" i="2"/>
  <c r="AV251" i="2"/>
  <c r="AV216" i="2"/>
  <c r="AV215" i="2"/>
  <c r="AV250" i="2"/>
  <c r="AV249" i="2"/>
  <c r="AV214" i="2"/>
  <c r="AV213" i="2"/>
  <c r="AV248" i="2"/>
  <c r="AV247" i="2"/>
  <c r="AV246" i="2"/>
  <c r="AV212" i="2"/>
  <c r="AV211" i="2"/>
  <c r="AV210" i="2"/>
  <c r="AV209" i="2"/>
  <c r="AV232" i="2"/>
  <c r="AV231" i="2"/>
  <c r="BI228" i="2"/>
  <c r="BI227" i="2"/>
  <c r="BI226" i="2"/>
  <c r="BI225" i="2"/>
  <c r="BI224" i="2"/>
  <c r="BI261" i="2"/>
  <c r="BI260" i="2"/>
  <c r="BI223" i="2"/>
  <c r="BI259" i="2"/>
  <c r="BI258" i="2"/>
  <c r="BI257" i="2"/>
  <c r="BI222" i="2"/>
  <c r="BI256" i="2"/>
  <c r="BI255" i="2"/>
  <c r="BI254" i="2"/>
  <c r="BI221" i="2"/>
  <c r="BI220" i="2"/>
  <c r="BI219" i="2"/>
  <c r="BI218" i="2"/>
  <c r="BI253" i="2"/>
  <c r="BI252" i="2"/>
  <c r="BI217" i="2"/>
  <c r="BI251" i="2"/>
  <c r="BI216" i="2"/>
  <c r="BI215" i="2"/>
  <c r="BI250" i="2"/>
  <c r="BI249" i="2"/>
  <c r="BI214" i="2"/>
  <c r="BI213" i="2"/>
  <c r="BI248" i="2"/>
  <c r="BI247" i="2"/>
  <c r="BI246" i="2"/>
  <c r="BI212" i="2"/>
  <c r="BI211" i="2"/>
  <c r="BI210" i="2"/>
  <c r="BI209" i="2"/>
  <c r="BI232" i="2"/>
  <c r="BI231" i="2"/>
  <c r="BI230" i="2"/>
  <c r="AR228" i="2"/>
  <c r="AR227" i="2"/>
  <c r="AR226" i="2"/>
  <c r="AR225" i="2"/>
  <c r="AR224" i="2"/>
  <c r="AR223" i="2"/>
  <c r="AR222" i="2"/>
  <c r="AR221" i="2"/>
  <c r="AR220" i="2"/>
  <c r="AR219" i="2"/>
  <c r="AR218" i="2"/>
  <c r="AR217" i="2"/>
  <c r="AR216" i="2"/>
  <c r="AR215" i="2"/>
  <c r="AR214" i="2"/>
  <c r="AR213" i="2"/>
  <c r="AR212" i="2"/>
  <c r="AR211" i="2"/>
  <c r="AR210" i="2"/>
  <c r="AP228" i="2"/>
  <c r="AP227" i="2"/>
  <c r="AP226" i="2"/>
  <c r="AP225" i="2"/>
  <c r="AP224" i="2"/>
  <c r="AP261" i="2"/>
  <c r="AP260" i="2"/>
  <c r="AP223" i="2"/>
  <c r="AP259" i="2"/>
  <c r="AP258" i="2"/>
  <c r="AP257" i="2"/>
  <c r="AP222" i="2"/>
  <c r="AP256" i="2"/>
  <c r="AP255" i="2"/>
  <c r="AP254" i="2"/>
  <c r="AP221" i="2"/>
  <c r="AP220" i="2"/>
  <c r="AP219" i="2"/>
  <c r="AP218" i="2"/>
  <c r="AP253" i="2"/>
  <c r="AP252" i="2"/>
  <c r="AP217" i="2"/>
  <c r="AP251" i="2"/>
  <c r="AP216" i="2"/>
  <c r="AP215" i="2"/>
  <c r="AP250" i="2"/>
  <c r="AP249" i="2"/>
  <c r="AP214" i="2"/>
  <c r="AP213" i="2"/>
  <c r="AP248" i="2"/>
  <c r="AP247" i="2"/>
  <c r="AP246" i="2"/>
  <c r="AP212" i="2"/>
  <c r="AP211" i="2"/>
  <c r="AP210" i="2"/>
  <c r="AP209" i="2"/>
  <c r="AP232" i="2"/>
  <c r="AP231" i="2"/>
  <c r="AP230" i="2"/>
  <c r="AO228" i="2"/>
  <c r="AO227" i="2"/>
  <c r="AO226" i="2"/>
  <c r="AO225" i="2"/>
  <c r="AO224" i="2"/>
  <c r="AO261" i="2"/>
  <c r="AO260" i="2"/>
  <c r="AO223" i="2"/>
  <c r="AO259" i="2"/>
  <c r="AO258" i="2"/>
  <c r="AO257" i="2"/>
  <c r="AO222" i="2"/>
  <c r="AO256" i="2"/>
  <c r="AO255" i="2"/>
  <c r="AO254" i="2"/>
  <c r="AO221" i="2"/>
  <c r="AO220" i="2"/>
  <c r="AO219" i="2"/>
  <c r="AO218" i="2"/>
  <c r="AO253" i="2"/>
  <c r="AO252" i="2"/>
  <c r="AO217" i="2"/>
  <c r="AO251" i="2"/>
  <c r="AO250" i="2"/>
  <c r="AO249" i="2"/>
  <c r="AO214" i="2"/>
  <c r="AO213" i="2"/>
  <c r="AO248" i="2"/>
  <c r="AO247" i="2"/>
  <c r="AO246" i="2"/>
  <c r="AO212" i="2"/>
  <c r="AO211" i="2"/>
  <c r="AO210" i="2"/>
  <c r="AO209" i="2"/>
  <c r="AO232" i="2"/>
  <c r="AO231" i="2"/>
  <c r="AO230" i="2"/>
  <c r="AN228" i="2"/>
  <c r="AN227" i="2"/>
  <c r="AN226" i="2"/>
  <c r="AN225" i="2"/>
  <c r="AN224" i="2"/>
  <c r="AN261" i="2"/>
  <c r="AN260" i="2"/>
  <c r="AN223" i="2"/>
  <c r="AN259" i="2"/>
  <c r="AN258" i="2"/>
  <c r="AN257" i="2"/>
  <c r="AN222" i="2"/>
  <c r="AN256" i="2"/>
  <c r="AN255" i="2"/>
  <c r="AN254" i="2"/>
  <c r="AN221" i="2"/>
  <c r="AN220" i="2"/>
  <c r="AN219" i="2"/>
  <c r="AN218" i="2"/>
  <c r="AN253" i="2"/>
  <c r="AN252" i="2"/>
  <c r="AN217" i="2"/>
  <c r="AN251" i="2"/>
  <c r="AN250" i="2"/>
  <c r="AN249" i="2"/>
  <c r="AN214" i="2"/>
  <c r="AN213" i="2"/>
  <c r="AN248" i="2"/>
  <c r="AN247" i="2"/>
  <c r="AN246" i="2"/>
  <c r="AN212" i="2"/>
  <c r="AN211" i="2"/>
  <c r="AN210" i="2"/>
  <c r="AN209" i="2"/>
  <c r="AN232" i="2"/>
  <c r="AN231" i="2"/>
  <c r="AN230" i="2"/>
  <c r="AX228" i="2"/>
  <c r="AX227" i="2"/>
  <c r="AX226" i="2"/>
  <c r="AX225" i="2"/>
  <c r="AX224" i="2"/>
  <c r="AX261" i="2"/>
  <c r="AX260" i="2"/>
  <c r="AX223" i="2"/>
  <c r="AX259" i="2"/>
  <c r="AX258" i="2"/>
  <c r="AX257" i="2"/>
  <c r="AX222" i="2"/>
  <c r="AX256" i="2"/>
  <c r="AX255" i="2"/>
  <c r="AX254" i="2"/>
  <c r="AX221" i="2"/>
  <c r="AX220" i="2"/>
  <c r="AX219" i="2"/>
  <c r="AX218" i="2"/>
  <c r="AX253" i="2"/>
  <c r="AX252" i="2"/>
  <c r="AX217" i="2"/>
  <c r="AX251" i="2"/>
  <c r="AX216" i="2"/>
  <c r="AX215" i="2"/>
  <c r="AX250" i="2"/>
  <c r="AX249" i="2"/>
  <c r="AX214" i="2"/>
  <c r="AX213" i="2"/>
  <c r="AX248" i="2"/>
  <c r="AX247" i="2"/>
  <c r="AX246" i="2"/>
  <c r="AX212" i="2"/>
  <c r="AX211" i="2"/>
  <c r="AX210" i="2"/>
  <c r="AX209" i="2"/>
  <c r="AX232" i="2"/>
  <c r="AX231" i="2"/>
  <c r="AX230" i="2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32" i="2"/>
  <c r="AH231" i="2"/>
  <c r="AA228" i="2"/>
  <c r="AA227" i="2"/>
  <c r="AA226" i="2"/>
  <c r="AA225" i="2"/>
  <c r="AA224" i="2"/>
  <c r="AA261" i="2"/>
  <c r="AA260" i="2"/>
  <c r="AA223" i="2"/>
  <c r="AA259" i="2"/>
  <c r="AA258" i="2"/>
  <c r="AA257" i="2"/>
  <c r="AA222" i="2"/>
  <c r="AA256" i="2"/>
  <c r="AA255" i="2"/>
  <c r="AA254" i="2"/>
  <c r="AA221" i="2"/>
  <c r="AA220" i="2"/>
  <c r="AA219" i="2"/>
  <c r="AA218" i="2"/>
  <c r="AA253" i="2"/>
  <c r="AA252" i="2"/>
  <c r="AA217" i="2"/>
  <c r="AA251" i="2"/>
  <c r="AA216" i="2"/>
  <c r="AA215" i="2"/>
  <c r="AA250" i="2"/>
  <c r="AA249" i="2"/>
  <c r="AA214" i="2"/>
  <c r="AA213" i="2"/>
  <c r="AA248" i="2"/>
  <c r="AA246" i="2"/>
  <c r="AA212" i="2"/>
  <c r="AA211" i="2"/>
  <c r="AA210" i="2"/>
  <c r="AA209" i="2"/>
  <c r="AA232" i="2"/>
  <c r="AA231" i="2"/>
  <c r="AA230" i="2"/>
  <c r="O228" i="2"/>
  <c r="O227" i="2"/>
  <c r="O226" i="2"/>
  <c r="O225" i="2"/>
  <c r="O224" i="2"/>
  <c r="O261" i="2"/>
  <c r="O260" i="2"/>
  <c r="O223" i="2"/>
  <c r="O259" i="2"/>
  <c r="O258" i="2"/>
  <c r="O257" i="2"/>
  <c r="O222" i="2"/>
  <c r="O256" i="2"/>
  <c r="O255" i="2"/>
  <c r="O254" i="2"/>
  <c r="O221" i="2"/>
  <c r="O220" i="2"/>
  <c r="O219" i="2"/>
  <c r="O218" i="2"/>
  <c r="O253" i="2"/>
  <c r="O252" i="2"/>
  <c r="O217" i="2"/>
  <c r="O251" i="2"/>
  <c r="O216" i="2"/>
  <c r="O215" i="2"/>
  <c r="O250" i="2"/>
  <c r="O249" i="2"/>
  <c r="O214" i="2"/>
  <c r="O213" i="2"/>
  <c r="O248" i="2"/>
  <c r="O247" i="2"/>
  <c r="O246" i="2"/>
  <c r="O212" i="2"/>
  <c r="O211" i="2"/>
  <c r="O210" i="2"/>
  <c r="O209" i="2"/>
  <c r="O232" i="2"/>
  <c r="O231" i="2"/>
  <c r="O230" i="2"/>
  <c r="O42" i="2"/>
  <c r="Q42" i="2"/>
  <c r="R42" i="2"/>
  <c r="S42" i="2"/>
  <c r="W42" i="2"/>
  <c r="X42" i="2"/>
  <c r="Y42" i="2"/>
  <c r="AA42" i="2"/>
  <c r="AC42" i="2"/>
  <c r="AD42" i="2"/>
  <c r="AE42" i="2"/>
  <c r="AF42" i="2"/>
  <c r="AG42" i="2"/>
  <c r="AH42" i="2"/>
  <c r="AL42" i="2"/>
  <c r="AM42" i="2"/>
  <c r="AN42" i="2"/>
  <c r="AP42" i="2"/>
  <c r="AV42" i="2"/>
  <c r="AW42" i="2"/>
  <c r="AX42" i="2"/>
  <c r="BG42" i="2"/>
  <c r="BI42" i="2"/>
  <c r="BJ42" i="2"/>
  <c r="BK42" i="2"/>
  <c r="BL42" i="2"/>
  <c r="BN42" i="2"/>
  <c r="O57" i="2"/>
  <c r="Q57" i="2"/>
  <c r="R57" i="2"/>
  <c r="S57" i="2"/>
  <c r="W57" i="2"/>
  <c r="X57" i="2"/>
  <c r="Y57" i="2"/>
  <c r="AA57" i="2"/>
  <c r="AC57" i="2"/>
  <c r="AD57" i="2"/>
  <c r="AE57" i="2"/>
  <c r="AF57" i="2"/>
  <c r="AG57" i="2"/>
  <c r="AH57" i="2"/>
  <c r="AL57" i="2"/>
  <c r="AM57" i="2"/>
  <c r="AN57" i="2"/>
  <c r="AO57" i="2"/>
  <c r="AP57" i="2"/>
  <c r="AT57" i="2"/>
  <c r="AV57" i="2"/>
  <c r="AW57" i="2"/>
  <c r="AX57" i="2"/>
  <c r="BG57" i="2"/>
  <c r="BI57" i="2"/>
  <c r="BJ57" i="2"/>
  <c r="BK57" i="2"/>
  <c r="BL57" i="2"/>
  <c r="BN57" i="2"/>
  <c r="O64" i="2"/>
  <c r="Q64" i="2"/>
  <c r="R64" i="2"/>
  <c r="S64" i="2"/>
  <c r="W64" i="2"/>
  <c r="X64" i="2"/>
  <c r="Y64" i="2"/>
  <c r="AA64" i="2"/>
  <c r="AC64" i="2"/>
  <c r="AD64" i="2"/>
  <c r="AE64" i="2"/>
  <c r="AF64" i="2"/>
  <c r="AG64" i="2"/>
  <c r="AL64" i="2"/>
  <c r="AM64" i="2"/>
  <c r="AN64" i="2"/>
  <c r="AO64" i="2"/>
  <c r="AP64" i="2"/>
  <c r="AT64" i="2"/>
  <c r="AV64" i="2"/>
  <c r="AW64" i="2"/>
  <c r="AX64" i="2"/>
  <c r="BG64" i="2"/>
  <c r="BI64" i="2"/>
  <c r="BJ64" i="2"/>
  <c r="BK64" i="2"/>
  <c r="BL64" i="2"/>
  <c r="BN64" i="2"/>
  <c r="AP78" i="2"/>
  <c r="AP77" i="2"/>
  <c r="AP76" i="2"/>
  <c r="AP75" i="2"/>
  <c r="AP74" i="2"/>
  <c r="AP73" i="2"/>
  <c r="AP72" i="2"/>
  <c r="AP71" i="2"/>
  <c r="AP70" i="2"/>
  <c r="AP97" i="2"/>
  <c r="AP96" i="2"/>
  <c r="AP95" i="2"/>
  <c r="AP94" i="2"/>
  <c r="AP93" i="2"/>
  <c r="AP92" i="2"/>
  <c r="AP91" i="2"/>
  <c r="AP69" i="2"/>
  <c r="AP68" i="2"/>
  <c r="AP41" i="2"/>
  <c r="AP36" i="2"/>
  <c r="AP40" i="2"/>
  <c r="AP39" i="2"/>
  <c r="AP67" i="2"/>
  <c r="AP66" i="2"/>
  <c r="AP65" i="2"/>
  <c r="AP56" i="2"/>
  <c r="AP55" i="2"/>
  <c r="AP54" i="2"/>
  <c r="AP53" i="2"/>
  <c r="AP52" i="2"/>
  <c r="AP51" i="2"/>
  <c r="AP50" i="2"/>
  <c r="AP63" i="2"/>
  <c r="AP62" i="2"/>
  <c r="AP61" i="2"/>
  <c r="AP60" i="2"/>
  <c r="AP59" i="2"/>
  <c r="AP58" i="2"/>
  <c r="AP48" i="2"/>
  <c r="AP47" i="2"/>
  <c r="AP46" i="2"/>
  <c r="AP49" i="2"/>
  <c r="AP45" i="2"/>
  <c r="AP44" i="2"/>
  <c r="AP43" i="2"/>
  <c r="AV78" i="2"/>
  <c r="AV77" i="2"/>
  <c r="AV76" i="2"/>
  <c r="AV75" i="2"/>
  <c r="AV74" i="2"/>
  <c r="AV73" i="2"/>
  <c r="AV72" i="2"/>
  <c r="AV71" i="2"/>
  <c r="AV70" i="2"/>
  <c r="AV97" i="2"/>
  <c r="AV96" i="2"/>
  <c r="AV95" i="2"/>
  <c r="AV94" i="2"/>
  <c r="AV93" i="2"/>
  <c r="AV92" i="2"/>
  <c r="AV91" i="2"/>
  <c r="AV69" i="2"/>
  <c r="AV68" i="2"/>
  <c r="AV41" i="2"/>
  <c r="AV36" i="2"/>
  <c r="AV40" i="2"/>
  <c r="AV39" i="2"/>
  <c r="AV38" i="2"/>
  <c r="AV67" i="2"/>
  <c r="AV66" i="2"/>
  <c r="AV65" i="2"/>
  <c r="AV56" i="2"/>
  <c r="AV55" i="2"/>
  <c r="AV54" i="2"/>
  <c r="AV53" i="2"/>
  <c r="AV52" i="2"/>
  <c r="AV51" i="2"/>
  <c r="AV50" i="2"/>
  <c r="AV63" i="2"/>
  <c r="AV62" i="2"/>
  <c r="AV61" i="2"/>
  <c r="AV60" i="2"/>
  <c r="AV59" i="2"/>
  <c r="AV58" i="2"/>
  <c r="AV48" i="2"/>
  <c r="AV47" i="2"/>
  <c r="AV46" i="2"/>
  <c r="AV49" i="2"/>
  <c r="AV45" i="2"/>
  <c r="AV44" i="2"/>
  <c r="AV43" i="2"/>
  <c r="AT78" i="2"/>
  <c r="AT77" i="2"/>
  <c r="AT76" i="2"/>
  <c r="AT75" i="2"/>
  <c r="AT74" i="2"/>
  <c r="AT73" i="2"/>
  <c r="AT72" i="2"/>
  <c r="AT71" i="2"/>
  <c r="AT70" i="2"/>
  <c r="AT97" i="2"/>
  <c r="AT96" i="2"/>
  <c r="AT95" i="2"/>
  <c r="AT94" i="2"/>
  <c r="AT93" i="2"/>
  <c r="AT92" i="2"/>
  <c r="AT91" i="2"/>
  <c r="AT69" i="2"/>
  <c r="AT68" i="2"/>
  <c r="AT36" i="2"/>
  <c r="AT67" i="2"/>
  <c r="AT66" i="2"/>
  <c r="AT65" i="2"/>
  <c r="AT56" i="2"/>
  <c r="AT55" i="2"/>
  <c r="AT54" i="2"/>
  <c r="AT53" i="2"/>
  <c r="AT52" i="2"/>
  <c r="AT63" i="2"/>
  <c r="AT62" i="2"/>
  <c r="AT61" i="2"/>
  <c r="AT60" i="2"/>
  <c r="AT59" i="2"/>
  <c r="AT58" i="2"/>
  <c r="BK78" i="2"/>
  <c r="BK77" i="2"/>
  <c r="BK76" i="2"/>
  <c r="BK75" i="2"/>
  <c r="BK74" i="2"/>
  <c r="BK73" i="2"/>
  <c r="BK72" i="2"/>
  <c r="BK71" i="2"/>
  <c r="BK70" i="2"/>
  <c r="BK97" i="2"/>
  <c r="BK96" i="2"/>
  <c r="BK95" i="2"/>
  <c r="BK94" i="2"/>
  <c r="BK93" i="2"/>
  <c r="BK92" i="2"/>
  <c r="BK91" i="2"/>
  <c r="BK69" i="2"/>
  <c r="BK68" i="2"/>
  <c r="BK41" i="2"/>
  <c r="BK36" i="2"/>
  <c r="BK40" i="2"/>
  <c r="BK39" i="2"/>
  <c r="BK67" i="2"/>
  <c r="BK66" i="2"/>
  <c r="BK65" i="2"/>
  <c r="BK56" i="2"/>
  <c r="BK55" i="2"/>
  <c r="BK54" i="2"/>
  <c r="BK53" i="2"/>
  <c r="BK52" i="2"/>
  <c r="BK51" i="2"/>
  <c r="BK50" i="2"/>
  <c r="BK63" i="2"/>
  <c r="BK62" i="2"/>
  <c r="BK61" i="2"/>
  <c r="BK60" i="2"/>
  <c r="BK59" i="2"/>
  <c r="BK58" i="2"/>
  <c r="BK48" i="2"/>
  <c r="BK47" i="2"/>
  <c r="BK46" i="2"/>
  <c r="BK45" i="2"/>
  <c r="BK44" i="2"/>
  <c r="BK43" i="2"/>
  <c r="BK90" i="2"/>
  <c r="BK89" i="2"/>
  <c r="BK88" i="2"/>
  <c r="BK87" i="2"/>
  <c r="BK86" i="2"/>
  <c r="BK85" i="2"/>
  <c r="BK83" i="2"/>
  <c r="BK81" i="2"/>
  <c r="BK80" i="2"/>
  <c r="BK79" i="2"/>
  <c r="AX77" i="2"/>
  <c r="AX76" i="2"/>
  <c r="AX75" i="2"/>
  <c r="AX74" i="2"/>
  <c r="AX73" i="2"/>
  <c r="AX72" i="2"/>
  <c r="AX71" i="2"/>
  <c r="AX70" i="2"/>
  <c r="AX97" i="2"/>
  <c r="AX96" i="2"/>
  <c r="AX95" i="2"/>
  <c r="AX94" i="2"/>
  <c r="AX93" i="2"/>
  <c r="AX92" i="2"/>
  <c r="AX91" i="2"/>
  <c r="AX69" i="2"/>
  <c r="AX68" i="2"/>
  <c r="AX41" i="2"/>
  <c r="AX36" i="2"/>
  <c r="AX40" i="2"/>
  <c r="AX39" i="2"/>
  <c r="AX67" i="2"/>
  <c r="AX66" i="2"/>
  <c r="AX65" i="2"/>
  <c r="AX56" i="2"/>
  <c r="AX55" i="2"/>
  <c r="AX54" i="2"/>
  <c r="AX53" i="2"/>
  <c r="AX52" i="2"/>
  <c r="AX51" i="2"/>
  <c r="AX50" i="2"/>
  <c r="AX63" i="2"/>
  <c r="AX62" i="2"/>
  <c r="AX61" i="2"/>
  <c r="AX60" i="2"/>
  <c r="AX59" i="2"/>
  <c r="AX58" i="2"/>
  <c r="AX48" i="2"/>
  <c r="AX47" i="2"/>
  <c r="AX46" i="2"/>
  <c r="AX45" i="2"/>
  <c r="AX44" i="2"/>
  <c r="AX43" i="2"/>
  <c r="AX90" i="2"/>
  <c r="AX89" i="2"/>
  <c r="AX88" i="2"/>
  <c r="AX87" i="2"/>
  <c r="AX86" i="2"/>
  <c r="AX85" i="2"/>
  <c r="AX83" i="2"/>
  <c r="AX81" i="2"/>
  <c r="AX80" i="2"/>
  <c r="AX79" i="2"/>
  <c r="BN78" i="2"/>
  <c r="BL78" i="2"/>
  <c r="BJ78" i="2"/>
  <c r="BI78" i="2"/>
  <c r="BG78" i="2"/>
  <c r="AX78" i="2"/>
  <c r="BN77" i="2"/>
  <c r="BL77" i="2"/>
  <c r="BJ77" i="2"/>
  <c r="BI77" i="2"/>
  <c r="BG77" i="2"/>
  <c r="BN76" i="2"/>
  <c r="BL76" i="2"/>
  <c r="BJ76" i="2"/>
  <c r="BI76" i="2"/>
  <c r="BG76" i="2"/>
  <c r="BN75" i="2"/>
  <c r="BL75" i="2"/>
  <c r="BJ75" i="2"/>
  <c r="BI75" i="2"/>
  <c r="BG75" i="2"/>
  <c r="BN74" i="2"/>
  <c r="BL74" i="2"/>
  <c r="BJ74" i="2"/>
  <c r="BI74" i="2"/>
  <c r="BG74" i="2"/>
  <c r="BN73" i="2"/>
  <c r="BL73" i="2"/>
  <c r="BJ73" i="2"/>
  <c r="BI73" i="2"/>
  <c r="BG73" i="2"/>
  <c r="BN72" i="2"/>
  <c r="BL72" i="2"/>
  <c r="BJ72" i="2"/>
  <c r="BI72" i="2"/>
  <c r="BG72" i="2"/>
  <c r="BN71" i="2"/>
  <c r="BL71" i="2"/>
  <c r="BJ71" i="2"/>
  <c r="BI71" i="2"/>
  <c r="BG71" i="2"/>
  <c r="BN70" i="2"/>
  <c r="BL70" i="2"/>
  <c r="BJ70" i="2"/>
  <c r="BI70" i="2"/>
  <c r="BG70" i="2"/>
  <c r="BN97" i="2"/>
  <c r="BL97" i="2"/>
  <c r="BJ97" i="2"/>
  <c r="BI97" i="2"/>
  <c r="BG97" i="2"/>
  <c r="BN96" i="2"/>
  <c r="BL96" i="2"/>
  <c r="BJ96" i="2"/>
  <c r="BI96" i="2"/>
  <c r="BG96" i="2"/>
  <c r="BN95" i="2"/>
  <c r="BL95" i="2"/>
  <c r="BJ95" i="2"/>
  <c r="BI95" i="2"/>
  <c r="BG95" i="2"/>
  <c r="BN94" i="2"/>
  <c r="BL94" i="2"/>
  <c r="BJ94" i="2"/>
  <c r="BI94" i="2"/>
  <c r="BG94" i="2"/>
  <c r="BN93" i="2"/>
  <c r="BL93" i="2"/>
  <c r="BJ93" i="2"/>
  <c r="BI93" i="2"/>
  <c r="BG93" i="2"/>
  <c r="BN92" i="2"/>
  <c r="BL92" i="2"/>
  <c r="BJ92" i="2"/>
  <c r="BI92" i="2"/>
  <c r="BG92" i="2"/>
  <c r="BN91" i="2"/>
  <c r="BL91" i="2"/>
  <c r="BJ91" i="2"/>
  <c r="BI91" i="2"/>
  <c r="BG91" i="2"/>
  <c r="BN69" i="2"/>
  <c r="BL69" i="2"/>
  <c r="BJ69" i="2"/>
  <c r="BI69" i="2"/>
  <c r="BG69" i="2"/>
  <c r="BN68" i="2"/>
  <c r="BL68" i="2"/>
  <c r="BJ68" i="2"/>
  <c r="BI68" i="2"/>
  <c r="BG68" i="2"/>
  <c r="BN41" i="2"/>
  <c r="BL41" i="2"/>
  <c r="BJ41" i="2"/>
  <c r="BI41" i="2"/>
  <c r="BG41" i="2"/>
  <c r="BN36" i="2"/>
  <c r="BL36" i="2"/>
  <c r="BJ36" i="2"/>
  <c r="BI36" i="2"/>
  <c r="BG36" i="2"/>
  <c r="BN40" i="2"/>
  <c r="BL40" i="2"/>
  <c r="BJ40" i="2"/>
  <c r="BI40" i="2"/>
  <c r="BG40" i="2"/>
  <c r="BN39" i="2"/>
  <c r="BL39" i="2"/>
  <c r="BJ39" i="2"/>
  <c r="BI39" i="2"/>
  <c r="BG39" i="2"/>
  <c r="BN67" i="2"/>
  <c r="BL67" i="2"/>
  <c r="BJ67" i="2"/>
  <c r="BI67" i="2"/>
  <c r="BG67" i="2"/>
  <c r="BN66" i="2"/>
  <c r="BL66" i="2"/>
  <c r="BJ66" i="2"/>
  <c r="BI66" i="2"/>
  <c r="BG66" i="2"/>
  <c r="BN65" i="2"/>
  <c r="BL65" i="2"/>
  <c r="BJ65" i="2"/>
  <c r="BI65" i="2"/>
  <c r="BG65" i="2"/>
  <c r="BN56" i="2"/>
  <c r="BL56" i="2"/>
  <c r="BJ56" i="2"/>
  <c r="BI56" i="2"/>
  <c r="BG56" i="2"/>
  <c r="BN55" i="2"/>
  <c r="BL55" i="2"/>
  <c r="BJ55" i="2"/>
  <c r="BI55" i="2"/>
  <c r="BG55" i="2"/>
  <c r="BN54" i="2"/>
  <c r="BL54" i="2"/>
  <c r="BJ54" i="2"/>
  <c r="BI54" i="2"/>
  <c r="BG54" i="2"/>
  <c r="BN53" i="2"/>
  <c r="BL53" i="2"/>
  <c r="BJ53" i="2"/>
  <c r="BI53" i="2"/>
  <c r="BG53" i="2"/>
  <c r="BN52" i="2"/>
  <c r="BL52" i="2"/>
  <c r="BJ52" i="2"/>
  <c r="BI52" i="2"/>
  <c r="BG52" i="2"/>
  <c r="BN51" i="2"/>
  <c r="BL51" i="2"/>
  <c r="BJ51" i="2"/>
  <c r="BI51" i="2"/>
  <c r="BG51" i="2"/>
  <c r="BN50" i="2"/>
  <c r="BL50" i="2"/>
  <c r="BJ50" i="2"/>
  <c r="BI50" i="2"/>
  <c r="BG50" i="2"/>
  <c r="BN63" i="2"/>
  <c r="BL63" i="2"/>
  <c r="BJ63" i="2"/>
  <c r="BI63" i="2"/>
  <c r="BG63" i="2"/>
  <c r="BN62" i="2"/>
  <c r="BL62" i="2"/>
  <c r="BJ62" i="2"/>
  <c r="BI62" i="2"/>
  <c r="BG62" i="2"/>
  <c r="BN61" i="2"/>
  <c r="BL61" i="2"/>
  <c r="BJ61" i="2"/>
  <c r="BI61" i="2"/>
  <c r="BG61" i="2"/>
  <c r="BN60" i="2"/>
  <c r="BL60" i="2"/>
  <c r="BJ60" i="2"/>
  <c r="BI60" i="2"/>
  <c r="BG60" i="2"/>
  <c r="BN59" i="2"/>
  <c r="BL59" i="2"/>
  <c r="BJ59" i="2"/>
  <c r="BI59" i="2"/>
  <c r="BG59" i="2"/>
  <c r="BN58" i="2"/>
  <c r="BL58" i="2"/>
  <c r="BJ58" i="2"/>
  <c r="BI58" i="2"/>
  <c r="BG58" i="2"/>
  <c r="BN48" i="2"/>
  <c r="BL48" i="2"/>
  <c r="BJ48" i="2"/>
  <c r="BI48" i="2"/>
  <c r="BG48" i="2"/>
  <c r="BN47" i="2"/>
  <c r="BL47" i="2"/>
  <c r="BJ47" i="2"/>
  <c r="BI47" i="2"/>
  <c r="BG47" i="2"/>
  <c r="BN46" i="2"/>
  <c r="BL46" i="2"/>
  <c r="BJ46" i="2"/>
  <c r="BI46" i="2"/>
  <c r="BG46" i="2"/>
  <c r="BN49" i="2"/>
  <c r="BG49" i="2"/>
  <c r="BN45" i="2"/>
  <c r="BL45" i="2"/>
  <c r="BJ45" i="2"/>
  <c r="BI45" i="2"/>
  <c r="BG45" i="2"/>
  <c r="BN44" i="2"/>
  <c r="BL44" i="2"/>
  <c r="BJ44" i="2"/>
  <c r="BI44" i="2"/>
  <c r="BG44" i="2"/>
  <c r="BN43" i="2"/>
  <c r="BL43" i="2"/>
  <c r="BJ43" i="2"/>
  <c r="BI43" i="2"/>
  <c r="BG43" i="2"/>
  <c r="AW78" i="2"/>
  <c r="AW77" i="2"/>
  <c r="AW76" i="2"/>
  <c r="AW75" i="2"/>
  <c r="AW74" i="2"/>
  <c r="AW73" i="2"/>
  <c r="AW72" i="2"/>
  <c r="AW71" i="2"/>
  <c r="AW70" i="2"/>
  <c r="AW97" i="2"/>
  <c r="AW96" i="2"/>
  <c r="AW95" i="2"/>
  <c r="AW94" i="2"/>
  <c r="AW93" i="2"/>
  <c r="AW92" i="2"/>
  <c r="AW91" i="2"/>
  <c r="AW69" i="2"/>
  <c r="AW68" i="2"/>
  <c r="AW41" i="2"/>
  <c r="AW36" i="2"/>
  <c r="AW40" i="2"/>
  <c r="AW39" i="2"/>
  <c r="AW38" i="2"/>
  <c r="AW67" i="2"/>
  <c r="AW66" i="2"/>
  <c r="AW65" i="2"/>
  <c r="AW56" i="2"/>
  <c r="AW55" i="2"/>
  <c r="AW54" i="2"/>
  <c r="AW53" i="2"/>
  <c r="AW52" i="2"/>
  <c r="AW51" i="2"/>
  <c r="AW50" i="2"/>
  <c r="AW63" i="2"/>
  <c r="AW62" i="2"/>
  <c r="AW61" i="2"/>
  <c r="AW60" i="2"/>
  <c r="AW59" i="2"/>
  <c r="AW58" i="2"/>
  <c r="AW48" i="2"/>
  <c r="AW47" i="2"/>
  <c r="AW46" i="2"/>
  <c r="AW45" i="2"/>
  <c r="AW44" i="2"/>
  <c r="AW43" i="2"/>
  <c r="AO78" i="2"/>
  <c r="AN78" i="2"/>
  <c r="AM78" i="2"/>
  <c r="AL78" i="2"/>
  <c r="AH78" i="2"/>
  <c r="AG78" i="2"/>
  <c r="AF78" i="2"/>
  <c r="AO77" i="2"/>
  <c r="AN77" i="2"/>
  <c r="AM77" i="2"/>
  <c r="AL77" i="2"/>
  <c r="AH77" i="2"/>
  <c r="AG77" i="2"/>
  <c r="AF77" i="2"/>
  <c r="AO76" i="2"/>
  <c r="AN76" i="2"/>
  <c r="AM76" i="2"/>
  <c r="AL76" i="2"/>
  <c r="AH76" i="2"/>
  <c r="AG76" i="2"/>
  <c r="AF76" i="2"/>
  <c r="AO75" i="2"/>
  <c r="AN75" i="2"/>
  <c r="AM75" i="2"/>
  <c r="AL75" i="2"/>
  <c r="AH75" i="2"/>
  <c r="AG75" i="2"/>
  <c r="AF75" i="2"/>
  <c r="AO74" i="2"/>
  <c r="AN74" i="2"/>
  <c r="AM74" i="2"/>
  <c r="AL74" i="2"/>
  <c r="AH74" i="2"/>
  <c r="AG74" i="2"/>
  <c r="AF74" i="2"/>
  <c r="AO73" i="2"/>
  <c r="AN73" i="2"/>
  <c r="AM73" i="2"/>
  <c r="AL73" i="2"/>
  <c r="AH73" i="2"/>
  <c r="AG73" i="2"/>
  <c r="AF73" i="2"/>
  <c r="AO72" i="2"/>
  <c r="AN72" i="2"/>
  <c r="AM72" i="2"/>
  <c r="AL72" i="2"/>
  <c r="AG72" i="2"/>
  <c r="AF72" i="2"/>
  <c r="AO71" i="2"/>
  <c r="AN71" i="2"/>
  <c r="AM71" i="2"/>
  <c r="AL71" i="2"/>
  <c r="AH71" i="2"/>
  <c r="AG71" i="2"/>
  <c r="AF71" i="2"/>
  <c r="AO70" i="2"/>
  <c r="AN70" i="2"/>
  <c r="AM70" i="2"/>
  <c r="AL70" i="2"/>
  <c r="AH70" i="2"/>
  <c r="AG70" i="2"/>
  <c r="AF70" i="2"/>
  <c r="AO97" i="2"/>
  <c r="AN97" i="2"/>
  <c r="AM97" i="2"/>
  <c r="AL97" i="2"/>
  <c r="AH97" i="2"/>
  <c r="AG97" i="2"/>
  <c r="AF97" i="2"/>
  <c r="AO96" i="2"/>
  <c r="AN96" i="2"/>
  <c r="AM96" i="2"/>
  <c r="AL96" i="2"/>
  <c r="AG96" i="2"/>
  <c r="AF96" i="2"/>
  <c r="AO95" i="2"/>
  <c r="AN95" i="2"/>
  <c r="AM95" i="2"/>
  <c r="AL95" i="2"/>
  <c r="AH95" i="2"/>
  <c r="AG95" i="2"/>
  <c r="AF95" i="2"/>
  <c r="AO94" i="2"/>
  <c r="AN94" i="2"/>
  <c r="AM94" i="2"/>
  <c r="AL94" i="2"/>
  <c r="AH94" i="2"/>
  <c r="AG94" i="2"/>
  <c r="AF94" i="2"/>
  <c r="AO93" i="2"/>
  <c r="AN93" i="2"/>
  <c r="AM93" i="2"/>
  <c r="AL93" i="2"/>
  <c r="AH93" i="2"/>
  <c r="AG93" i="2"/>
  <c r="AF93" i="2"/>
  <c r="AO92" i="2"/>
  <c r="AN92" i="2"/>
  <c r="AM92" i="2"/>
  <c r="AL92" i="2"/>
  <c r="AH92" i="2"/>
  <c r="AG92" i="2"/>
  <c r="AF92" i="2"/>
  <c r="AO91" i="2"/>
  <c r="AN91" i="2"/>
  <c r="AM91" i="2"/>
  <c r="AL91" i="2"/>
  <c r="AH91" i="2"/>
  <c r="AG91" i="2"/>
  <c r="AF91" i="2"/>
  <c r="AO69" i="2"/>
  <c r="AN69" i="2"/>
  <c r="AM69" i="2"/>
  <c r="AL69" i="2"/>
  <c r="AH69" i="2"/>
  <c r="AG69" i="2"/>
  <c r="AF69" i="2"/>
  <c r="AO68" i="2"/>
  <c r="AN68" i="2"/>
  <c r="AM68" i="2"/>
  <c r="AL68" i="2"/>
  <c r="AH68" i="2"/>
  <c r="AG68" i="2"/>
  <c r="AF68" i="2"/>
  <c r="AN41" i="2"/>
  <c r="AM41" i="2"/>
  <c r="AL41" i="2"/>
  <c r="AH41" i="2"/>
  <c r="AG41" i="2"/>
  <c r="AF41" i="2"/>
  <c r="AO36" i="2"/>
  <c r="AN36" i="2"/>
  <c r="AM36" i="2"/>
  <c r="AL36" i="2"/>
  <c r="AH36" i="2"/>
  <c r="AG36" i="2"/>
  <c r="AF36" i="2"/>
  <c r="AN40" i="2"/>
  <c r="AM40" i="2"/>
  <c r="AL40" i="2"/>
  <c r="AG40" i="2"/>
  <c r="AF40" i="2"/>
  <c r="AN39" i="2"/>
  <c r="AM39" i="2"/>
  <c r="AL39" i="2"/>
  <c r="AH39" i="2"/>
  <c r="AG39" i="2"/>
  <c r="AF39" i="2"/>
  <c r="AL38" i="2"/>
  <c r="AG38" i="2"/>
  <c r="AF38" i="2"/>
  <c r="AO67" i="2"/>
  <c r="AN67" i="2"/>
  <c r="AM67" i="2"/>
  <c r="AL67" i="2"/>
  <c r="AH67" i="2"/>
  <c r="AG67" i="2"/>
  <c r="AF67" i="2"/>
  <c r="AO66" i="2"/>
  <c r="AN66" i="2"/>
  <c r="AM66" i="2"/>
  <c r="AL66" i="2"/>
  <c r="AH66" i="2"/>
  <c r="AG66" i="2"/>
  <c r="AF66" i="2"/>
  <c r="AO65" i="2"/>
  <c r="AN65" i="2"/>
  <c r="AM65" i="2"/>
  <c r="AL65" i="2"/>
  <c r="AH65" i="2"/>
  <c r="AG65" i="2"/>
  <c r="AF65" i="2"/>
  <c r="AO56" i="2"/>
  <c r="AN56" i="2"/>
  <c r="AM56" i="2"/>
  <c r="AL56" i="2"/>
  <c r="AG56" i="2"/>
  <c r="AF56" i="2"/>
  <c r="AO55" i="2"/>
  <c r="AN55" i="2"/>
  <c r="AM55" i="2"/>
  <c r="AL55" i="2"/>
  <c r="AH55" i="2"/>
  <c r="AG55" i="2"/>
  <c r="AF55" i="2"/>
  <c r="AO54" i="2"/>
  <c r="AN54" i="2"/>
  <c r="AM54" i="2"/>
  <c r="AL54" i="2"/>
  <c r="AH54" i="2"/>
  <c r="AG54" i="2"/>
  <c r="AF54" i="2"/>
  <c r="AO53" i="2"/>
  <c r="AN53" i="2"/>
  <c r="AM53" i="2"/>
  <c r="AL53" i="2"/>
  <c r="AH53" i="2"/>
  <c r="AG53" i="2"/>
  <c r="AF53" i="2"/>
  <c r="AO52" i="2"/>
  <c r="AN52" i="2"/>
  <c r="AM52" i="2"/>
  <c r="AL52" i="2"/>
  <c r="AH52" i="2"/>
  <c r="AG52" i="2"/>
  <c r="AF52" i="2"/>
  <c r="AO51" i="2"/>
  <c r="AN51" i="2"/>
  <c r="AM51" i="2"/>
  <c r="AL51" i="2"/>
  <c r="AH51" i="2"/>
  <c r="AG51" i="2"/>
  <c r="AF51" i="2"/>
  <c r="AO50" i="2"/>
  <c r="AN50" i="2"/>
  <c r="AM50" i="2"/>
  <c r="AL50" i="2"/>
  <c r="AG50" i="2"/>
  <c r="AF50" i="2"/>
  <c r="AO63" i="2"/>
  <c r="AN63" i="2"/>
  <c r="AM63" i="2"/>
  <c r="AL63" i="2"/>
  <c r="AH63" i="2"/>
  <c r="AG63" i="2"/>
  <c r="AF63" i="2"/>
  <c r="AO62" i="2"/>
  <c r="AN62" i="2"/>
  <c r="AM62" i="2"/>
  <c r="AL62" i="2"/>
  <c r="AH62" i="2"/>
  <c r="AG62" i="2"/>
  <c r="AF62" i="2"/>
  <c r="AO61" i="2"/>
  <c r="AN61" i="2"/>
  <c r="AM61" i="2"/>
  <c r="AL61" i="2"/>
  <c r="AH61" i="2"/>
  <c r="AG61" i="2"/>
  <c r="AF61" i="2"/>
  <c r="AO60" i="2"/>
  <c r="AN60" i="2"/>
  <c r="AM60" i="2"/>
  <c r="AL60" i="2"/>
  <c r="AH60" i="2"/>
  <c r="AG60" i="2"/>
  <c r="AF60" i="2"/>
  <c r="AO59" i="2"/>
  <c r="AN59" i="2"/>
  <c r="AM59" i="2"/>
  <c r="AL59" i="2"/>
  <c r="AH59" i="2"/>
  <c r="AG59" i="2"/>
  <c r="AF59" i="2"/>
  <c r="AO58" i="2"/>
  <c r="AN58" i="2"/>
  <c r="AM58" i="2"/>
  <c r="AL58" i="2"/>
  <c r="AH58" i="2"/>
  <c r="AG58" i="2"/>
  <c r="AF58" i="2"/>
  <c r="AN48" i="2"/>
  <c r="AM48" i="2"/>
  <c r="AL48" i="2"/>
  <c r="AG48" i="2"/>
  <c r="AF48" i="2"/>
  <c r="AN47" i="2"/>
  <c r="AM47" i="2"/>
  <c r="AL47" i="2"/>
  <c r="AH47" i="2"/>
  <c r="AG47" i="2"/>
  <c r="AF47" i="2"/>
  <c r="AN46" i="2"/>
  <c r="AM46" i="2"/>
  <c r="AL46" i="2"/>
  <c r="AH46" i="2"/>
  <c r="AG46" i="2"/>
  <c r="AF46" i="2"/>
  <c r="AF49" i="2"/>
  <c r="AN45" i="2"/>
  <c r="AM45" i="2"/>
  <c r="AL45" i="2"/>
  <c r="AH45" i="2"/>
  <c r="AG45" i="2"/>
  <c r="AF45" i="2"/>
  <c r="AN44" i="2"/>
  <c r="AM44" i="2"/>
  <c r="AL44" i="2"/>
  <c r="AH44" i="2"/>
  <c r="AG44" i="2"/>
  <c r="AF44" i="2"/>
  <c r="AN43" i="2"/>
  <c r="AM43" i="2"/>
  <c r="AL43" i="2"/>
  <c r="AH43" i="2"/>
  <c r="AG43" i="2"/>
  <c r="AF43" i="2"/>
  <c r="AE78" i="2"/>
  <c r="AD78" i="2"/>
  <c r="AC78" i="2"/>
  <c r="AA78" i="2"/>
  <c r="Y78" i="2"/>
  <c r="AE77" i="2"/>
  <c r="AD77" i="2"/>
  <c r="AC77" i="2"/>
  <c r="AA77" i="2"/>
  <c r="Y77" i="2"/>
  <c r="AE76" i="2"/>
  <c r="AD76" i="2"/>
  <c r="AC76" i="2"/>
  <c r="AA76" i="2"/>
  <c r="Y76" i="2"/>
  <c r="AE75" i="2"/>
  <c r="AD75" i="2"/>
  <c r="AC75" i="2"/>
  <c r="AA75" i="2"/>
  <c r="Y75" i="2"/>
  <c r="AE74" i="2"/>
  <c r="AD74" i="2"/>
  <c r="AC74" i="2"/>
  <c r="AA74" i="2"/>
  <c r="Y74" i="2"/>
  <c r="AE73" i="2"/>
  <c r="AD73" i="2"/>
  <c r="AC73" i="2"/>
  <c r="AA73" i="2"/>
  <c r="Y73" i="2"/>
  <c r="AE72" i="2"/>
  <c r="AD72" i="2"/>
  <c r="AC72" i="2"/>
  <c r="AA72" i="2"/>
  <c r="Y72" i="2"/>
  <c r="AE71" i="2"/>
  <c r="AD71" i="2"/>
  <c r="AC71" i="2"/>
  <c r="AA71" i="2"/>
  <c r="Y71" i="2"/>
  <c r="AE70" i="2"/>
  <c r="AD70" i="2"/>
  <c r="AC70" i="2"/>
  <c r="AA70" i="2"/>
  <c r="Y70" i="2"/>
  <c r="AE97" i="2"/>
  <c r="AD97" i="2"/>
  <c r="AC97" i="2"/>
  <c r="AA97" i="2"/>
  <c r="Y97" i="2"/>
  <c r="AE96" i="2"/>
  <c r="AD96" i="2"/>
  <c r="AC96" i="2"/>
  <c r="AA96" i="2"/>
  <c r="Y96" i="2"/>
  <c r="AE95" i="2"/>
  <c r="AD95" i="2"/>
  <c r="AC95" i="2"/>
  <c r="AA95" i="2"/>
  <c r="Y95" i="2"/>
  <c r="AE94" i="2"/>
  <c r="AD94" i="2"/>
  <c r="AC94" i="2"/>
  <c r="AA94" i="2"/>
  <c r="Y94" i="2"/>
  <c r="AE93" i="2"/>
  <c r="AD93" i="2"/>
  <c r="AC93" i="2"/>
  <c r="AA93" i="2"/>
  <c r="Y93" i="2"/>
  <c r="AE92" i="2"/>
  <c r="AD92" i="2"/>
  <c r="AC92" i="2"/>
  <c r="AA92" i="2"/>
  <c r="Y92" i="2"/>
  <c r="AE91" i="2"/>
  <c r="AD91" i="2"/>
  <c r="AC91" i="2"/>
  <c r="AA91" i="2"/>
  <c r="Y91" i="2"/>
  <c r="AE69" i="2"/>
  <c r="AD69" i="2"/>
  <c r="AC69" i="2"/>
  <c r="AA69" i="2"/>
  <c r="Y69" i="2"/>
  <c r="AE68" i="2"/>
  <c r="AD68" i="2"/>
  <c r="AC68" i="2"/>
  <c r="AA68" i="2"/>
  <c r="Y68" i="2"/>
  <c r="AE41" i="2"/>
  <c r="AD41" i="2"/>
  <c r="AC41" i="2"/>
  <c r="AA41" i="2"/>
  <c r="Y41" i="2"/>
  <c r="AE36" i="2"/>
  <c r="AD36" i="2"/>
  <c r="AC36" i="2"/>
  <c r="AA36" i="2"/>
  <c r="Y36" i="2"/>
  <c r="AE40" i="2"/>
  <c r="AD40" i="2"/>
  <c r="AC40" i="2"/>
  <c r="AA40" i="2"/>
  <c r="Y40" i="2"/>
  <c r="AE39" i="2"/>
  <c r="AD39" i="2"/>
  <c r="AC39" i="2"/>
  <c r="AA39" i="2"/>
  <c r="Y39" i="2"/>
  <c r="AE38" i="2"/>
  <c r="AD38" i="2"/>
  <c r="AC38" i="2"/>
  <c r="AA38" i="2"/>
  <c r="Y38" i="2"/>
  <c r="AE67" i="2"/>
  <c r="AD67" i="2"/>
  <c r="AC67" i="2"/>
  <c r="AA67" i="2"/>
  <c r="Y67" i="2"/>
  <c r="AE66" i="2"/>
  <c r="AD66" i="2"/>
  <c r="AC66" i="2"/>
  <c r="AA66" i="2"/>
  <c r="Y66" i="2"/>
  <c r="AE65" i="2"/>
  <c r="AD65" i="2"/>
  <c r="AC65" i="2"/>
  <c r="AA65" i="2"/>
  <c r="Y65" i="2"/>
  <c r="AE56" i="2"/>
  <c r="AD56" i="2"/>
  <c r="AC56" i="2"/>
  <c r="AA56" i="2"/>
  <c r="Y56" i="2"/>
  <c r="AE55" i="2"/>
  <c r="AD55" i="2"/>
  <c r="AC55" i="2"/>
  <c r="AA55" i="2"/>
  <c r="Y55" i="2"/>
  <c r="AE54" i="2"/>
  <c r="AD54" i="2"/>
  <c r="AC54" i="2"/>
  <c r="AA54" i="2"/>
  <c r="Y54" i="2"/>
  <c r="AE53" i="2"/>
  <c r="AD53" i="2"/>
  <c r="AC53" i="2"/>
  <c r="AA53" i="2"/>
  <c r="Y53" i="2"/>
  <c r="AE52" i="2"/>
  <c r="AD52" i="2"/>
  <c r="AC52" i="2"/>
  <c r="AA52" i="2"/>
  <c r="Y52" i="2"/>
  <c r="AE51" i="2"/>
  <c r="AD51" i="2"/>
  <c r="AC51" i="2"/>
  <c r="AA51" i="2"/>
  <c r="Y51" i="2"/>
  <c r="AE50" i="2"/>
  <c r="AD50" i="2"/>
  <c r="AC50" i="2"/>
  <c r="AA50" i="2"/>
  <c r="Y50" i="2"/>
  <c r="AE63" i="2"/>
  <c r="AD63" i="2"/>
  <c r="AC63" i="2"/>
  <c r="AA63" i="2"/>
  <c r="Y63" i="2"/>
  <c r="AE62" i="2"/>
  <c r="AD62" i="2"/>
  <c r="AC62" i="2"/>
  <c r="AA62" i="2"/>
  <c r="Y62" i="2"/>
  <c r="AE61" i="2"/>
  <c r="AD61" i="2"/>
  <c r="AC61" i="2"/>
  <c r="AA61" i="2"/>
  <c r="Y61" i="2"/>
  <c r="AE60" i="2"/>
  <c r="AD60" i="2"/>
  <c r="AC60" i="2"/>
  <c r="AA60" i="2"/>
  <c r="Y60" i="2"/>
  <c r="AE59" i="2"/>
  <c r="AD59" i="2"/>
  <c r="AC59" i="2"/>
  <c r="AA59" i="2"/>
  <c r="Y59" i="2"/>
  <c r="AE58" i="2"/>
  <c r="AD58" i="2"/>
  <c r="AC58" i="2"/>
  <c r="AA58" i="2"/>
  <c r="Y58" i="2"/>
  <c r="AE48" i="2"/>
  <c r="AD48" i="2"/>
  <c r="AC48" i="2"/>
  <c r="AA48" i="2"/>
  <c r="Y48" i="2"/>
  <c r="AE47" i="2"/>
  <c r="AD47" i="2"/>
  <c r="AC47" i="2"/>
  <c r="AA47" i="2"/>
  <c r="Y47" i="2"/>
  <c r="AE46" i="2"/>
  <c r="AD46" i="2"/>
  <c r="AC46" i="2"/>
  <c r="AA46" i="2"/>
  <c r="Y46" i="2"/>
  <c r="AE45" i="2"/>
  <c r="AD45" i="2"/>
  <c r="AC45" i="2"/>
  <c r="AA45" i="2"/>
  <c r="Y45" i="2"/>
  <c r="AE44" i="2"/>
  <c r="AD44" i="2"/>
  <c r="AC44" i="2"/>
  <c r="AA44" i="2"/>
  <c r="Y44" i="2"/>
  <c r="AE43" i="2"/>
  <c r="AD43" i="2"/>
  <c r="AC43" i="2"/>
  <c r="AA43" i="2"/>
  <c r="Y43" i="2"/>
  <c r="X78" i="2"/>
  <c r="X77" i="2"/>
  <c r="X76" i="2"/>
  <c r="X75" i="2"/>
  <c r="X74" i="2"/>
  <c r="X73" i="2"/>
  <c r="X72" i="2"/>
  <c r="X71" i="2"/>
  <c r="X70" i="2"/>
  <c r="X97" i="2"/>
  <c r="X96" i="2"/>
  <c r="X95" i="2"/>
  <c r="X94" i="2"/>
  <c r="X93" i="2"/>
  <c r="X92" i="2"/>
  <c r="X91" i="2"/>
  <c r="X69" i="2"/>
  <c r="X68" i="2"/>
  <c r="X41" i="2"/>
  <c r="X36" i="2"/>
  <c r="X40" i="2"/>
  <c r="X39" i="2"/>
  <c r="X38" i="2"/>
  <c r="X67" i="2"/>
  <c r="X66" i="2"/>
  <c r="X65" i="2"/>
  <c r="X56" i="2"/>
  <c r="X55" i="2"/>
  <c r="X54" i="2"/>
  <c r="X53" i="2"/>
  <c r="X52" i="2"/>
  <c r="X51" i="2"/>
  <c r="X50" i="2"/>
  <c r="X63" i="2"/>
  <c r="X62" i="2"/>
  <c r="X61" i="2"/>
  <c r="X60" i="2"/>
  <c r="X59" i="2"/>
  <c r="X58" i="2"/>
  <c r="X48" i="2"/>
  <c r="X47" i="2"/>
  <c r="X46" i="2"/>
  <c r="X45" i="2"/>
  <c r="X44" i="2"/>
  <c r="X43" i="2"/>
  <c r="W78" i="2"/>
  <c r="W77" i="2"/>
  <c r="W76" i="2"/>
  <c r="W75" i="2"/>
  <c r="W74" i="2"/>
  <c r="W73" i="2"/>
  <c r="W72" i="2"/>
  <c r="W71" i="2"/>
  <c r="W70" i="2"/>
  <c r="W97" i="2"/>
  <c r="W96" i="2"/>
  <c r="W95" i="2"/>
  <c r="W94" i="2"/>
  <c r="W93" i="2"/>
  <c r="W92" i="2"/>
  <c r="W91" i="2"/>
  <c r="W69" i="2"/>
  <c r="W68" i="2"/>
  <c r="W41" i="2"/>
  <c r="W36" i="2"/>
  <c r="W40" i="2"/>
  <c r="W39" i="2"/>
  <c r="W38" i="2"/>
  <c r="W67" i="2"/>
  <c r="W66" i="2"/>
  <c r="W65" i="2"/>
  <c r="W56" i="2"/>
  <c r="W55" i="2"/>
  <c r="W54" i="2"/>
  <c r="W53" i="2"/>
  <c r="W52" i="2"/>
  <c r="W51" i="2"/>
  <c r="W50" i="2"/>
  <c r="W63" i="2"/>
  <c r="W62" i="2"/>
  <c r="W61" i="2"/>
  <c r="W60" i="2"/>
  <c r="W59" i="2"/>
  <c r="W58" i="2"/>
  <c r="W48" i="2"/>
  <c r="W47" i="2"/>
  <c r="W46" i="2"/>
  <c r="W45" i="2"/>
  <c r="W44" i="2"/>
  <c r="W43" i="2"/>
  <c r="S78" i="2"/>
  <c r="S77" i="2"/>
  <c r="S76" i="2"/>
  <c r="S75" i="2"/>
  <c r="S74" i="2"/>
  <c r="S73" i="2"/>
  <c r="S72" i="2"/>
  <c r="S71" i="2"/>
  <c r="S70" i="2"/>
  <c r="S97" i="2"/>
  <c r="S96" i="2"/>
  <c r="S95" i="2"/>
  <c r="S94" i="2"/>
  <c r="S93" i="2"/>
  <c r="S92" i="2"/>
  <c r="S91" i="2"/>
  <c r="S69" i="2"/>
  <c r="S68" i="2"/>
  <c r="S41" i="2"/>
  <c r="S36" i="2"/>
  <c r="S40" i="2"/>
  <c r="S39" i="2"/>
  <c r="S38" i="2"/>
  <c r="S67" i="2"/>
  <c r="S66" i="2"/>
  <c r="S65" i="2"/>
  <c r="S56" i="2"/>
  <c r="S55" i="2"/>
  <c r="S54" i="2"/>
  <c r="S53" i="2"/>
  <c r="R78" i="2"/>
  <c r="R77" i="2"/>
  <c r="R76" i="2"/>
  <c r="R75" i="2"/>
  <c r="R74" i="2"/>
  <c r="R73" i="2"/>
  <c r="R72" i="2"/>
  <c r="R71" i="2"/>
  <c r="R70" i="2"/>
  <c r="R97" i="2"/>
  <c r="R96" i="2"/>
  <c r="R95" i="2"/>
  <c r="R94" i="2"/>
  <c r="R93" i="2"/>
  <c r="R92" i="2"/>
  <c r="R91" i="2"/>
  <c r="R69" i="2"/>
  <c r="R68" i="2"/>
  <c r="R41" i="2"/>
  <c r="R36" i="2"/>
  <c r="R40" i="2"/>
  <c r="R39" i="2"/>
  <c r="R38" i="2"/>
  <c r="R67" i="2"/>
  <c r="R66" i="2"/>
  <c r="R65" i="2"/>
  <c r="R56" i="2"/>
  <c r="R55" i="2"/>
  <c r="R54" i="2"/>
  <c r="R53" i="2"/>
  <c r="R52" i="2"/>
  <c r="R51" i="2"/>
  <c r="R50" i="2"/>
  <c r="R63" i="2"/>
  <c r="R62" i="2"/>
  <c r="R61" i="2"/>
  <c r="R60" i="2"/>
  <c r="R59" i="2"/>
  <c r="R58" i="2"/>
  <c r="R48" i="2"/>
  <c r="R47" i="2"/>
  <c r="R46" i="2"/>
  <c r="R45" i="2"/>
  <c r="R44" i="2"/>
  <c r="R43" i="2"/>
  <c r="R90" i="2"/>
  <c r="R89" i="2"/>
  <c r="R88" i="2"/>
  <c r="R87" i="2"/>
  <c r="R86" i="2"/>
  <c r="R85" i="2"/>
  <c r="R83" i="2"/>
  <c r="R81" i="2"/>
  <c r="R80" i="2"/>
  <c r="R79" i="2"/>
  <c r="S52" i="2"/>
  <c r="S51" i="2"/>
  <c r="S50" i="2"/>
  <c r="S63" i="2"/>
  <c r="S62" i="2"/>
  <c r="S61" i="2"/>
  <c r="S60" i="2"/>
  <c r="S59" i="2"/>
  <c r="S58" i="2"/>
  <c r="S48" i="2"/>
  <c r="S47" i="2"/>
  <c r="S46" i="2"/>
  <c r="S45" i="2"/>
  <c r="S44" i="2"/>
  <c r="S43" i="2"/>
  <c r="Q73" i="2"/>
  <c r="Q74" i="2"/>
  <c r="Q75" i="2"/>
  <c r="Q76" i="2"/>
  <c r="Q77" i="2"/>
  <c r="Q78" i="2"/>
  <c r="Q72" i="2"/>
  <c r="Q71" i="2"/>
  <c r="Q70" i="2"/>
  <c r="Q97" i="2"/>
  <c r="Q96" i="2"/>
  <c r="Q95" i="2"/>
  <c r="Q94" i="2"/>
  <c r="Q93" i="2"/>
  <c r="Q92" i="2"/>
  <c r="Q91" i="2"/>
  <c r="Q69" i="2"/>
  <c r="Q68" i="2"/>
  <c r="Q41" i="2"/>
  <c r="Q36" i="2"/>
  <c r="Q40" i="2"/>
  <c r="Q39" i="2"/>
  <c r="Q38" i="2"/>
  <c r="Q67" i="2"/>
  <c r="Q66" i="2"/>
  <c r="Q65" i="2"/>
  <c r="Q56" i="2"/>
  <c r="Q55" i="2"/>
  <c r="Q54" i="2"/>
  <c r="Q53" i="2"/>
  <c r="Q52" i="2"/>
  <c r="Q51" i="2"/>
  <c r="Q50" i="2"/>
  <c r="Q63" i="2"/>
  <c r="Q62" i="2"/>
  <c r="Q61" i="2"/>
  <c r="Q60" i="2"/>
  <c r="Q59" i="2"/>
  <c r="Q58" i="2"/>
  <c r="Q48" i="2"/>
  <c r="Q47" i="2"/>
  <c r="Q46" i="2"/>
  <c r="Q45" i="2"/>
  <c r="Q44" i="2"/>
  <c r="Q43" i="2"/>
  <c r="O78" i="2"/>
  <c r="O77" i="2"/>
  <c r="O76" i="2"/>
  <c r="O75" i="2"/>
  <c r="O74" i="2"/>
  <c r="O73" i="2"/>
  <c r="O72" i="2"/>
  <c r="O71" i="2"/>
  <c r="O70" i="2"/>
  <c r="O97" i="2"/>
  <c r="O96" i="2"/>
  <c r="O95" i="2"/>
  <c r="O94" i="2"/>
  <c r="O93" i="2"/>
  <c r="O92" i="2"/>
  <c r="O91" i="2"/>
  <c r="O69" i="2"/>
  <c r="O68" i="2"/>
  <c r="O41" i="2"/>
  <c r="O36" i="2"/>
  <c r="O40" i="2"/>
  <c r="O39" i="2"/>
  <c r="O38" i="2"/>
  <c r="O67" i="2"/>
  <c r="O66" i="2"/>
  <c r="O65" i="2"/>
  <c r="O56" i="2"/>
  <c r="O55" i="2"/>
  <c r="O54" i="2"/>
  <c r="O53" i="2"/>
  <c r="O52" i="2"/>
  <c r="O51" i="2"/>
  <c r="O50" i="2"/>
  <c r="O63" i="2"/>
  <c r="O62" i="2"/>
  <c r="O61" i="2"/>
  <c r="O60" i="2"/>
  <c r="O59" i="2"/>
  <c r="O58" i="2"/>
  <c r="O48" i="2"/>
  <c r="O47" i="2"/>
  <c r="O46" i="2"/>
  <c r="O45" i="2"/>
  <c r="O44" i="2"/>
  <c r="O43" i="2"/>
  <c r="BK149" i="2"/>
  <c r="BL150" i="2"/>
  <c r="BL149" i="2"/>
  <c r="BL148" i="2"/>
  <c r="BL147" i="2"/>
  <c r="BL146" i="2"/>
  <c r="BL145" i="2"/>
  <c r="BL144" i="2"/>
  <c r="BL143" i="2"/>
  <c r="BL142" i="2"/>
  <c r="BL141" i="2"/>
  <c r="BL140" i="2"/>
  <c r="BK150" i="2"/>
  <c r="BK148" i="2"/>
  <c r="BK147" i="2"/>
  <c r="BK146" i="2"/>
  <c r="BK145" i="2"/>
  <c r="BK144" i="2"/>
  <c r="BK143" i="2"/>
  <c r="BK142" i="2"/>
  <c r="BK141" i="2"/>
  <c r="BK140" i="2"/>
  <c r="BG150" i="2"/>
  <c r="BG149" i="2"/>
  <c r="BG148" i="2"/>
  <c r="BG147" i="2"/>
  <c r="BG146" i="2"/>
  <c r="BG145" i="2"/>
  <c r="BG144" i="2"/>
  <c r="BG143" i="2"/>
  <c r="BG142" i="2"/>
  <c r="BG141" i="2"/>
  <c r="BG140" i="2"/>
  <c r="AY150" i="2"/>
  <c r="AX150" i="2"/>
  <c r="AX149" i="2"/>
  <c r="AX148" i="2"/>
  <c r="AX147" i="2"/>
  <c r="AX146" i="2"/>
  <c r="AX145" i="2"/>
  <c r="AX144" i="2"/>
  <c r="AX143" i="2"/>
  <c r="AX142" i="2"/>
  <c r="AX141" i="2"/>
  <c r="AX140" i="2"/>
  <c r="AW150" i="2"/>
  <c r="AW149" i="2"/>
  <c r="AW148" i="2"/>
  <c r="AW147" i="2"/>
  <c r="AW146" i="2"/>
  <c r="AW145" i="2"/>
  <c r="AW144" i="2"/>
  <c r="AW143" i="2"/>
  <c r="AW142" i="2"/>
  <c r="AW141" i="2"/>
  <c r="AW140" i="2"/>
  <c r="AM150" i="2"/>
  <c r="AM149" i="2"/>
  <c r="AM148" i="2"/>
  <c r="AM147" i="2"/>
  <c r="AM146" i="2"/>
  <c r="AM145" i="2"/>
  <c r="AM144" i="2"/>
  <c r="AM143" i="2"/>
  <c r="AM142" i="2"/>
  <c r="AM141" i="2"/>
  <c r="AM140" i="2"/>
  <c r="AL150" i="2"/>
  <c r="AL149" i="2"/>
  <c r="AL148" i="2"/>
  <c r="AL147" i="2"/>
  <c r="AL146" i="2"/>
  <c r="AL145" i="2"/>
  <c r="AL144" i="2"/>
  <c r="AL143" i="2"/>
  <c r="AL142" i="2"/>
  <c r="AL141" i="2"/>
  <c r="AL140" i="2"/>
  <c r="AH150" i="2"/>
  <c r="AH149" i="2"/>
  <c r="AH148" i="2"/>
  <c r="BP148" i="2" s="1"/>
  <c r="AH144" i="2"/>
  <c r="AH143" i="2"/>
  <c r="BP143" i="2" s="1"/>
  <c r="AH142" i="2"/>
  <c r="AG150" i="2"/>
  <c r="AG149" i="2"/>
  <c r="AG148" i="2"/>
  <c r="AG147" i="2"/>
  <c r="AG146" i="2"/>
  <c r="AG145" i="2"/>
  <c r="AG144" i="2"/>
  <c r="AG143" i="2"/>
  <c r="AG142" i="2"/>
  <c r="AG141" i="2"/>
  <c r="AG140" i="2"/>
  <c r="AF150" i="2"/>
  <c r="AF149" i="2"/>
  <c r="AF148" i="2"/>
  <c r="AF147" i="2"/>
  <c r="AF146" i="2"/>
  <c r="AF145" i="2"/>
  <c r="AF144" i="2"/>
  <c r="AF143" i="2"/>
  <c r="AF142" i="2"/>
  <c r="AF141" i="2"/>
  <c r="AF140" i="2"/>
  <c r="AE150" i="2"/>
  <c r="AE149" i="2"/>
  <c r="AE148" i="2"/>
  <c r="AE147" i="2"/>
  <c r="AE146" i="2"/>
  <c r="AE145" i="2"/>
  <c r="AE144" i="2"/>
  <c r="AE143" i="2"/>
  <c r="AE142" i="2"/>
  <c r="AE141" i="2"/>
  <c r="AE140" i="2"/>
  <c r="AD150" i="2"/>
  <c r="AD149" i="2"/>
  <c r="AD148" i="2"/>
  <c r="AD147" i="2"/>
  <c r="AD146" i="2"/>
  <c r="AD145" i="2"/>
  <c r="AD144" i="2"/>
  <c r="AD143" i="2"/>
  <c r="AD142" i="2"/>
  <c r="AD141" i="2"/>
  <c r="AD140" i="2"/>
  <c r="AC150" i="2"/>
  <c r="AC149" i="2"/>
  <c r="AC148" i="2"/>
  <c r="AC147" i="2"/>
  <c r="AC146" i="2"/>
  <c r="AC145" i="2"/>
  <c r="AC144" i="2"/>
  <c r="AC143" i="2"/>
  <c r="AC142" i="2"/>
  <c r="AC141" i="2"/>
  <c r="AC140" i="2"/>
  <c r="AA150" i="2"/>
  <c r="AA149" i="2"/>
  <c r="AA148" i="2"/>
  <c r="AA147" i="2"/>
  <c r="AA146" i="2"/>
  <c r="AA145" i="2"/>
  <c r="AA144" i="2"/>
  <c r="AA143" i="2"/>
  <c r="AA142" i="2"/>
  <c r="AA141" i="2"/>
  <c r="AA140" i="2"/>
  <c r="Y150" i="2"/>
  <c r="Y149" i="2"/>
  <c r="Y148" i="2"/>
  <c r="Y147" i="2"/>
  <c r="Y146" i="2"/>
  <c r="Y145" i="2"/>
  <c r="Y144" i="2"/>
  <c r="Y143" i="2"/>
  <c r="Y142" i="2"/>
  <c r="Y141" i="2"/>
  <c r="Y140" i="2"/>
  <c r="X150" i="2"/>
  <c r="X149" i="2"/>
  <c r="X148" i="2"/>
  <c r="X147" i="2"/>
  <c r="X146" i="2"/>
  <c r="X145" i="2"/>
  <c r="X144" i="2"/>
  <c r="X143" i="2"/>
  <c r="X142" i="2"/>
  <c r="X141" i="2"/>
  <c r="X140" i="2"/>
  <c r="W150" i="2"/>
  <c r="W149" i="2"/>
  <c r="W148" i="2"/>
  <c r="W147" i="2"/>
  <c r="W146" i="2"/>
  <c r="W145" i="2"/>
  <c r="W144" i="2"/>
  <c r="W143" i="2"/>
  <c r="W142" i="2"/>
  <c r="W141" i="2"/>
  <c r="W140" i="2"/>
  <c r="S150" i="2"/>
  <c r="S149" i="2"/>
  <c r="S148" i="2"/>
  <c r="S147" i="2"/>
  <c r="S146" i="2"/>
  <c r="S145" i="2"/>
  <c r="S144" i="2"/>
  <c r="S143" i="2"/>
  <c r="S142" i="2"/>
  <c r="S141" i="2"/>
  <c r="S140" i="2"/>
  <c r="R150" i="2"/>
  <c r="R149" i="2"/>
  <c r="R148" i="2"/>
  <c r="R147" i="2"/>
  <c r="R146" i="2"/>
  <c r="R145" i="2"/>
  <c r="R144" i="2"/>
  <c r="R143" i="2"/>
  <c r="R142" i="2"/>
  <c r="R141" i="2"/>
  <c r="R140" i="2"/>
  <c r="Q150" i="2"/>
  <c r="Q149" i="2"/>
  <c r="Q148" i="2"/>
  <c r="Q147" i="2"/>
  <c r="Q146" i="2"/>
  <c r="Q145" i="2"/>
  <c r="Q144" i="2"/>
  <c r="Q143" i="2"/>
  <c r="Q142" i="2"/>
  <c r="Q141" i="2"/>
  <c r="Q140" i="2"/>
  <c r="O150" i="2"/>
  <c r="O149" i="2"/>
  <c r="O148" i="2"/>
  <c r="O147" i="2"/>
  <c r="O146" i="2"/>
  <c r="O145" i="2"/>
  <c r="O144" i="2"/>
  <c r="O143" i="2"/>
  <c r="O142" i="2"/>
  <c r="O141" i="2"/>
  <c r="O140" i="2"/>
  <c r="AV150" i="2"/>
  <c r="BO150" i="2" s="1"/>
  <c r="AV149" i="2"/>
  <c r="BO149" i="2" s="1"/>
  <c r="AV145" i="2"/>
  <c r="BO145" i="2" s="1"/>
  <c r="AV143" i="2"/>
  <c r="BO143" i="2" s="1"/>
  <c r="AV142" i="2"/>
  <c r="BO142" i="2" s="1"/>
  <c r="AV141" i="2"/>
  <c r="BO141" i="2" s="1"/>
  <c r="AV140" i="2"/>
  <c r="BO140" i="2" s="1"/>
  <c r="BP277" i="2"/>
  <c r="W152" i="2"/>
  <c r="AH230" i="2"/>
  <c r="AR230" i="2"/>
  <c r="AV230" i="2"/>
  <c r="AR231" i="2"/>
  <c r="AR232" i="2"/>
  <c r="O152" i="2"/>
  <c r="Q152" i="2"/>
  <c r="R152" i="2"/>
  <c r="S152" i="2"/>
  <c r="X152" i="2"/>
  <c r="Y152" i="2"/>
  <c r="AA152" i="2"/>
  <c r="AC152" i="2"/>
  <c r="AD152" i="2"/>
  <c r="AE152" i="2"/>
  <c r="AF152" i="2"/>
  <c r="AG152" i="2"/>
  <c r="AH152" i="2"/>
  <c r="AL152" i="2"/>
  <c r="AM152" i="2"/>
  <c r="AV152" i="2"/>
  <c r="BO152" i="2" s="1"/>
  <c r="AW152" i="2"/>
  <c r="AX152" i="2"/>
  <c r="BG152" i="2"/>
  <c r="BK152" i="2"/>
  <c r="BL152" i="2"/>
  <c r="O79" i="2"/>
  <c r="Q79" i="2"/>
  <c r="S79" i="2"/>
  <c r="W79" i="2"/>
  <c r="X79" i="2"/>
  <c r="Y79" i="2"/>
  <c r="AA79" i="2"/>
  <c r="AC79" i="2"/>
  <c r="AD79" i="2"/>
  <c r="AE79" i="2"/>
  <c r="AF79" i="2"/>
  <c r="AG79" i="2"/>
  <c r="AH79" i="2"/>
  <c r="AL79" i="2"/>
  <c r="AM79" i="2"/>
  <c r="AN79" i="2"/>
  <c r="AO79" i="2"/>
  <c r="AP79" i="2"/>
  <c r="AT79" i="2"/>
  <c r="AV79" i="2"/>
  <c r="AW79" i="2"/>
  <c r="BG79" i="2"/>
  <c r="BI79" i="2"/>
  <c r="BJ79" i="2"/>
  <c r="BL79" i="2"/>
  <c r="BN79" i="2"/>
  <c r="O80" i="2"/>
  <c r="Q80" i="2"/>
  <c r="S80" i="2"/>
  <c r="W80" i="2"/>
  <c r="X80" i="2"/>
  <c r="Y80" i="2"/>
  <c r="AA80" i="2"/>
  <c r="AC80" i="2"/>
  <c r="AD80" i="2"/>
  <c r="AE80" i="2"/>
  <c r="AF80" i="2"/>
  <c r="AG80" i="2"/>
  <c r="AL80" i="2"/>
  <c r="AM80" i="2"/>
  <c r="AN80" i="2"/>
  <c r="AO80" i="2"/>
  <c r="AP80" i="2"/>
  <c r="AT80" i="2"/>
  <c r="AV80" i="2"/>
  <c r="AW80" i="2"/>
  <c r="BG80" i="2"/>
  <c r="BI80" i="2"/>
  <c r="BJ80" i="2"/>
  <c r="BL80" i="2"/>
  <c r="BN80" i="2"/>
  <c r="O81" i="2"/>
  <c r="Q81" i="2"/>
  <c r="S81" i="2"/>
  <c r="W81" i="2"/>
  <c r="X81" i="2"/>
  <c r="Y81" i="2"/>
  <c r="AA81" i="2"/>
  <c r="AC81" i="2"/>
  <c r="AD81" i="2"/>
  <c r="AE81" i="2"/>
  <c r="AF81" i="2"/>
  <c r="AG81" i="2"/>
  <c r="AH81" i="2"/>
  <c r="AL81" i="2"/>
  <c r="AM81" i="2"/>
  <c r="AN81" i="2"/>
  <c r="AO81" i="2"/>
  <c r="AP81" i="2"/>
  <c r="AT81" i="2"/>
  <c r="AV81" i="2"/>
  <c r="AW81" i="2"/>
  <c r="BG81" i="2"/>
  <c r="BI81" i="2"/>
  <c r="BJ81" i="2"/>
  <c r="BL81" i="2"/>
  <c r="BN81" i="2"/>
  <c r="O83" i="2"/>
  <c r="Q83" i="2"/>
  <c r="S83" i="2"/>
  <c r="W83" i="2"/>
  <c r="X83" i="2"/>
  <c r="Y83" i="2"/>
  <c r="AA83" i="2"/>
  <c r="AC83" i="2"/>
  <c r="AD83" i="2"/>
  <c r="AE83" i="2"/>
  <c r="AF83" i="2"/>
  <c r="AG83" i="2"/>
  <c r="AH83" i="2"/>
  <c r="AL83" i="2"/>
  <c r="AM83" i="2"/>
  <c r="AN83" i="2"/>
  <c r="AO83" i="2"/>
  <c r="AP83" i="2"/>
  <c r="AT83" i="2"/>
  <c r="AV83" i="2"/>
  <c r="AW83" i="2"/>
  <c r="BG83" i="2"/>
  <c r="BI83" i="2"/>
  <c r="BJ83" i="2"/>
  <c r="BL83" i="2"/>
  <c r="BN83" i="2"/>
  <c r="O85" i="2"/>
  <c r="Q85" i="2"/>
  <c r="S85" i="2"/>
  <c r="W85" i="2"/>
  <c r="X85" i="2"/>
  <c r="Y85" i="2"/>
  <c r="AA85" i="2"/>
  <c r="AC85" i="2"/>
  <c r="AD85" i="2"/>
  <c r="AE85" i="2"/>
  <c r="AF85" i="2"/>
  <c r="AG85" i="2"/>
  <c r="AH85" i="2"/>
  <c r="AL85" i="2"/>
  <c r="AM85" i="2"/>
  <c r="AN85" i="2"/>
  <c r="AO85" i="2"/>
  <c r="AP85" i="2"/>
  <c r="AT85" i="2"/>
  <c r="AV85" i="2"/>
  <c r="AW85" i="2"/>
  <c r="BG85" i="2"/>
  <c r="BI85" i="2"/>
  <c r="BJ85" i="2"/>
  <c r="BL85" i="2"/>
  <c r="BN85" i="2"/>
  <c r="O86" i="2"/>
  <c r="Q86" i="2"/>
  <c r="S86" i="2"/>
  <c r="W86" i="2"/>
  <c r="X86" i="2"/>
  <c r="Y86" i="2"/>
  <c r="AA86" i="2"/>
  <c r="AC86" i="2"/>
  <c r="AD86" i="2"/>
  <c r="AE86" i="2"/>
  <c r="AF86" i="2"/>
  <c r="AG86" i="2"/>
  <c r="AH86" i="2"/>
  <c r="AL86" i="2"/>
  <c r="AM86" i="2"/>
  <c r="AN86" i="2"/>
  <c r="AO86" i="2"/>
  <c r="AP86" i="2"/>
  <c r="AT86" i="2"/>
  <c r="AV86" i="2"/>
  <c r="AW86" i="2"/>
  <c r="BG86" i="2"/>
  <c r="BI86" i="2"/>
  <c r="BJ86" i="2"/>
  <c r="BL86" i="2"/>
  <c r="BN86" i="2"/>
  <c r="O87" i="2"/>
  <c r="Q87" i="2"/>
  <c r="S87" i="2"/>
  <c r="W87" i="2"/>
  <c r="X87" i="2"/>
  <c r="Y87" i="2"/>
  <c r="AA87" i="2"/>
  <c r="AC87" i="2"/>
  <c r="AD87" i="2"/>
  <c r="AE87" i="2"/>
  <c r="AF87" i="2"/>
  <c r="AG87" i="2"/>
  <c r="AH87" i="2"/>
  <c r="AL87" i="2"/>
  <c r="AM87" i="2"/>
  <c r="AN87" i="2"/>
  <c r="AO87" i="2"/>
  <c r="AP87" i="2"/>
  <c r="AT87" i="2"/>
  <c r="AV87" i="2"/>
  <c r="AW87" i="2"/>
  <c r="BG87" i="2"/>
  <c r="BI87" i="2"/>
  <c r="BJ87" i="2"/>
  <c r="BL87" i="2"/>
  <c r="BN87" i="2"/>
  <c r="O88" i="2"/>
  <c r="Q88" i="2"/>
  <c r="S88" i="2"/>
  <c r="W88" i="2"/>
  <c r="X88" i="2"/>
  <c r="Y88" i="2"/>
  <c r="AA88" i="2"/>
  <c r="AC88" i="2"/>
  <c r="AD88" i="2"/>
  <c r="AE88" i="2"/>
  <c r="AF88" i="2"/>
  <c r="AG88" i="2"/>
  <c r="AL88" i="2"/>
  <c r="AM88" i="2"/>
  <c r="AN88" i="2"/>
  <c r="AO88" i="2"/>
  <c r="AP88" i="2"/>
  <c r="AT88" i="2"/>
  <c r="AV88" i="2"/>
  <c r="AW88" i="2"/>
  <c r="BG88" i="2"/>
  <c r="BI88" i="2"/>
  <c r="BJ88" i="2"/>
  <c r="BL88" i="2"/>
  <c r="BN88" i="2"/>
  <c r="O89" i="2"/>
  <c r="Q89" i="2"/>
  <c r="S89" i="2"/>
  <c r="W89" i="2"/>
  <c r="X89" i="2"/>
  <c r="Y89" i="2"/>
  <c r="AA89" i="2"/>
  <c r="AC89" i="2"/>
  <c r="AD89" i="2"/>
  <c r="AE89" i="2"/>
  <c r="AF89" i="2"/>
  <c r="AG89" i="2"/>
  <c r="AH89" i="2"/>
  <c r="AL89" i="2"/>
  <c r="AM89" i="2"/>
  <c r="AN89" i="2"/>
  <c r="AO89" i="2"/>
  <c r="AP89" i="2"/>
  <c r="AT89" i="2"/>
  <c r="AV89" i="2"/>
  <c r="AW89" i="2"/>
  <c r="BG89" i="2"/>
  <c r="BI89" i="2"/>
  <c r="BJ89" i="2"/>
  <c r="BL89" i="2"/>
  <c r="BN89" i="2"/>
  <c r="O90" i="2"/>
  <c r="Q90" i="2"/>
  <c r="S90" i="2"/>
  <c r="W90" i="2"/>
  <c r="X90" i="2"/>
  <c r="Y90" i="2"/>
  <c r="AA90" i="2"/>
  <c r="AC90" i="2"/>
  <c r="AD90" i="2"/>
  <c r="AE90" i="2"/>
  <c r="AF90" i="2"/>
  <c r="AG90" i="2"/>
  <c r="AH90" i="2"/>
  <c r="AL90" i="2"/>
  <c r="AM90" i="2"/>
  <c r="AN90" i="2"/>
  <c r="AO90" i="2"/>
  <c r="AP90" i="2"/>
  <c r="AT90" i="2"/>
  <c r="AV90" i="2"/>
  <c r="AW90" i="2"/>
  <c r="BG90" i="2"/>
  <c r="BI90" i="2"/>
  <c r="BJ90" i="2"/>
  <c r="BL90" i="2"/>
  <c r="BN90" i="2"/>
  <c r="O115" i="2"/>
  <c r="Q115" i="2"/>
  <c r="R115" i="2"/>
  <c r="S115" i="2"/>
  <c r="W115" i="2"/>
  <c r="X115" i="2"/>
  <c r="Y115" i="2"/>
  <c r="AA115" i="2"/>
  <c r="AC115" i="2"/>
  <c r="AD115" i="2"/>
  <c r="AE115" i="2"/>
  <c r="AF115" i="2"/>
  <c r="AG115" i="2"/>
  <c r="AL115" i="2"/>
  <c r="AM115" i="2"/>
  <c r="AV115" i="2"/>
  <c r="BO115" i="2" s="1"/>
  <c r="AW115" i="2"/>
  <c r="AX115" i="2"/>
  <c r="BG115" i="2"/>
  <c r="BK115" i="2"/>
  <c r="BL115" i="2"/>
  <c r="O116" i="2"/>
  <c r="Q116" i="2"/>
  <c r="R116" i="2"/>
  <c r="S116" i="2"/>
  <c r="W116" i="2"/>
  <c r="X116" i="2"/>
  <c r="Y116" i="2"/>
  <c r="AA116" i="2"/>
  <c r="AC116" i="2"/>
  <c r="AD116" i="2"/>
  <c r="AE116" i="2"/>
  <c r="AF116" i="2"/>
  <c r="AG116" i="2"/>
  <c r="AL116" i="2"/>
  <c r="AM116" i="2"/>
  <c r="AV116" i="2"/>
  <c r="BO116" i="2" s="1"/>
  <c r="AW116" i="2"/>
  <c r="AX116" i="2"/>
  <c r="BG116" i="2"/>
  <c r="BK116" i="2"/>
  <c r="BL116" i="2"/>
  <c r="O117" i="2"/>
  <c r="Q117" i="2"/>
  <c r="R117" i="2"/>
  <c r="S117" i="2"/>
  <c r="W117" i="2"/>
  <c r="X117" i="2"/>
  <c r="Y117" i="2"/>
  <c r="AA117" i="2"/>
  <c r="AC117" i="2"/>
  <c r="AD117" i="2"/>
  <c r="AE117" i="2"/>
  <c r="AF117" i="2"/>
  <c r="AG117" i="2"/>
  <c r="AH117" i="2"/>
  <c r="AL117" i="2"/>
  <c r="AM117" i="2"/>
  <c r="AV117" i="2"/>
  <c r="BO117" i="2" s="1"/>
  <c r="AW117" i="2"/>
  <c r="BG117" i="2"/>
  <c r="BK117" i="2"/>
  <c r="BL117" i="2"/>
  <c r="O118" i="2"/>
  <c r="Q118" i="2"/>
  <c r="R118" i="2"/>
  <c r="S118" i="2"/>
  <c r="W118" i="2"/>
  <c r="X118" i="2"/>
  <c r="Y118" i="2"/>
  <c r="AA118" i="2"/>
  <c r="AC118" i="2"/>
  <c r="AD118" i="2"/>
  <c r="AE118" i="2"/>
  <c r="AF118" i="2"/>
  <c r="AG118" i="2"/>
  <c r="AH118" i="2"/>
  <c r="AL118" i="2"/>
  <c r="AM118" i="2"/>
  <c r="AV118" i="2"/>
  <c r="BO118" i="2" s="1"/>
  <c r="AW118" i="2"/>
  <c r="AX118" i="2"/>
  <c r="BG118" i="2"/>
  <c r="BK118" i="2"/>
  <c r="BL118" i="2"/>
  <c r="O119" i="2"/>
  <c r="Q119" i="2"/>
  <c r="R119" i="2"/>
  <c r="S119" i="2"/>
  <c r="W119" i="2"/>
  <c r="X119" i="2"/>
  <c r="Y119" i="2"/>
  <c r="AA119" i="2"/>
  <c r="AC119" i="2"/>
  <c r="AD119" i="2"/>
  <c r="AE119" i="2"/>
  <c r="AF119" i="2"/>
  <c r="AG119" i="2"/>
  <c r="AL119" i="2"/>
  <c r="AM119" i="2"/>
  <c r="AV119" i="2"/>
  <c r="BO119" i="2" s="1"/>
  <c r="AW119" i="2"/>
  <c r="AX119" i="2"/>
  <c r="BG119" i="2"/>
  <c r="BK119" i="2"/>
  <c r="BL119" i="2"/>
  <c r="O120" i="2"/>
  <c r="Q120" i="2"/>
  <c r="R120" i="2"/>
  <c r="S120" i="2"/>
  <c r="W120" i="2"/>
  <c r="X120" i="2"/>
  <c r="Y120" i="2"/>
  <c r="AA120" i="2"/>
  <c r="AC120" i="2"/>
  <c r="AD120" i="2"/>
  <c r="AE120" i="2"/>
  <c r="AF120" i="2"/>
  <c r="AG120" i="2"/>
  <c r="AH120" i="2"/>
  <c r="AL120" i="2"/>
  <c r="AM120" i="2"/>
  <c r="AV120" i="2"/>
  <c r="BO120" i="2" s="1"/>
  <c r="AW120" i="2"/>
  <c r="AX120" i="2"/>
  <c r="BG120" i="2"/>
  <c r="BK120" i="2"/>
  <c r="BL120" i="2"/>
  <c r="O121" i="2"/>
  <c r="Q121" i="2"/>
  <c r="R121" i="2"/>
  <c r="S121" i="2"/>
  <c r="W121" i="2"/>
  <c r="X121" i="2"/>
  <c r="Y121" i="2"/>
  <c r="AA121" i="2"/>
  <c r="AC121" i="2"/>
  <c r="AD121" i="2"/>
  <c r="AE121" i="2"/>
  <c r="AF121" i="2"/>
  <c r="AG121" i="2"/>
  <c r="AH121" i="2"/>
  <c r="AL121" i="2"/>
  <c r="AM121" i="2"/>
  <c r="AV121" i="2"/>
  <c r="BO121" i="2" s="1"/>
  <c r="AW121" i="2"/>
  <c r="AX121" i="2"/>
  <c r="BG121" i="2"/>
  <c r="BK121" i="2"/>
  <c r="BL121" i="2"/>
  <c r="O122" i="2"/>
  <c r="Q122" i="2"/>
  <c r="R122" i="2"/>
  <c r="S122" i="2"/>
  <c r="W122" i="2"/>
  <c r="X122" i="2"/>
  <c r="Y122" i="2"/>
  <c r="AA122" i="2"/>
  <c r="AC122" i="2"/>
  <c r="AD122" i="2"/>
  <c r="AE122" i="2"/>
  <c r="AF122" i="2"/>
  <c r="AG122" i="2"/>
  <c r="AH122" i="2"/>
  <c r="AL122" i="2"/>
  <c r="AM122" i="2"/>
  <c r="AW122" i="2"/>
  <c r="AX122" i="2"/>
  <c r="BG122" i="2"/>
  <c r="BK122" i="2"/>
  <c r="BL122" i="2"/>
  <c r="O126" i="2"/>
  <c r="Q126" i="2"/>
  <c r="R126" i="2"/>
  <c r="S126" i="2"/>
  <c r="W126" i="2"/>
  <c r="X126" i="2"/>
  <c r="Y126" i="2"/>
  <c r="AA126" i="2"/>
  <c r="AC126" i="2"/>
  <c r="AD126" i="2"/>
  <c r="AE126" i="2"/>
  <c r="AF126" i="2"/>
  <c r="AG126" i="2"/>
  <c r="AL126" i="2"/>
  <c r="AM126" i="2"/>
  <c r="AV126" i="2"/>
  <c r="BO126" i="2" s="1"/>
  <c r="AW126" i="2"/>
  <c r="AX126" i="2"/>
  <c r="BG126" i="2"/>
  <c r="BK126" i="2"/>
  <c r="BL126" i="2"/>
  <c r="O127" i="2"/>
  <c r="Q127" i="2"/>
  <c r="R127" i="2"/>
  <c r="S127" i="2"/>
  <c r="W127" i="2"/>
  <c r="X127" i="2"/>
  <c r="Y127" i="2"/>
  <c r="AA127" i="2"/>
  <c r="AC127" i="2"/>
  <c r="AD127" i="2"/>
  <c r="AE127" i="2"/>
  <c r="AF127" i="2"/>
  <c r="AG127" i="2"/>
  <c r="AH127" i="2"/>
  <c r="AL127" i="2"/>
  <c r="AM127" i="2"/>
  <c r="AV127" i="2"/>
  <c r="BO127" i="2" s="1"/>
  <c r="AW127" i="2"/>
  <c r="AX127" i="2"/>
  <c r="BG127" i="2"/>
  <c r="BK127" i="2"/>
  <c r="BL127" i="2"/>
  <c r="Q129" i="2"/>
  <c r="R129" i="2"/>
  <c r="S129" i="2"/>
  <c r="W129" i="2"/>
  <c r="X129" i="2"/>
  <c r="Y129" i="2"/>
  <c r="AA129" i="2"/>
  <c r="AC129" i="2"/>
  <c r="AD129" i="2"/>
  <c r="AE129" i="2"/>
  <c r="AF129" i="2"/>
  <c r="AG129" i="2"/>
  <c r="AH129" i="2"/>
  <c r="AL129" i="2"/>
  <c r="AM129" i="2"/>
  <c r="AW129" i="2"/>
  <c r="AX129" i="2"/>
  <c r="BG129" i="2"/>
  <c r="BK129" i="2"/>
  <c r="BL129" i="2"/>
  <c r="O124" i="2"/>
  <c r="Q124" i="2"/>
  <c r="R124" i="2"/>
  <c r="S124" i="2"/>
  <c r="W124" i="2"/>
  <c r="X124" i="2"/>
  <c r="Y124" i="2"/>
  <c r="AA124" i="2"/>
  <c r="AC124" i="2"/>
  <c r="AD124" i="2"/>
  <c r="AE124" i="2"/>
  <c r="AF124" i="2"/>
  <c r="AG124" i="2"/>
  <c r="AH124" i="2"/>
  <c r="AL124" i="2"/>
  <c r="AM124" i="2"/>
  <c r="AW124" i="2"/>
  <c r="AX124" i="2"/>
  <c r="BG124" i="2"/>
  <c r="BK124" i="2"/>
  <c r="BL124" i="2"/>
  <c r="O130" i="2"/>
  <c r="Q130" i="2"/>
  <c r="R130" i="2"/>
  <c r="S130" i="2"/>
  <c r="W130" i="2"/>
  <c r="X130" i="2"/>
  <c r="Y130" i="2"/>
  <c r="AA130" i="2"/>
  <c r="AC130" i="2"/>
  <c r="AD130" i="2"/>
  <c r="AE130" i="2"/>
  <c r="AF130" i="2"/>
  <c r="AG130" i="2"/>
  <c r="AH130" i="2"/>
  <c r="AL130" i="2"/>
  <c r="AM130" i="2"/>
  <c r="AV130" i="2"/>
  <c r="BO130" i="2" s="1"/>
  <c r="AW130" i="2"/>
  <c r="AX130" i="2"/>
  <c r="BG130" i="2"/>
  <c r="BK130" i="2"/>
  <c r="BL130" i="2"/>
  <c r="O132" i="2"/>
  <c r="Q132" i="2"/>
  <c r="R132" i="2"/>
  <c r="S132" i="2"/>
  <c r="W132" i="2"/>
  <c r="X132" i="2"/>
  <c r="Y132" i="2"/>
  <c r="AA132" i="2"/>
  <c r="AC132" i="2"/>
  <c r="AD132" i="2"/>
  <c r="AE132" i="2"/>
  <c r="AF132" i="2"/>
  <c r="AG132" i="2"/>
  <c r="AH132" i="2"/>
  <c r="AL132" i="2"/>
  <c r="AM132" i="2"/>
  <c r="AV132" i="2"/>
  <c r="AW132" i="2"/>
  <c r="AX132" i="2"/>
  <c r="BG132" i="2"/>
  <c r="BK132" i="2"/>
  <c r="BL132" i="2"/>
  <c r="O133" i="2"/>
  <c r="Q133" i="2"/>
  <c r="R133" i="2"/>
  <c r="S133" i="2"/>
  <c r="W133" i="2"/>
  <c r="X133" i="2"/>
  <c r="Y133" i="2"/>
  <c r="AA133" i="2"/>
  <c r="AC133" i="2"/>
  <c r="AD133" i="2"/>
  <c r="AE133" i="2"/>
  <c r="AF133" i="2"/>
  <c r="AG133" i="2"/>
  <c r="AH133" i="2"/>
  <c r="AL133" i="2"/>
  <c r="AM133" i="2"/>
  <c r="AV133" i="2"/>
  <c r="BO133" i="2" s="1"/>
  <c r="AW133" i="2"/>
  <c r="AX133" i="2"/>
  <c r="BG133" i="2"/>
  <c r="BK133" i="2"/>
  <c r="BL133" i="2"/>
  <c r="O134" i="2"/>
  <c r="Q134" i="2"/>
  <c r="R134" i="2"/>
  <c r="S134" i="2"/>
  <c r="W134" i="2"/>
  <c r="X134" i="2"/>
  <c r="Y134" i="2"/>
  <c r="AA134" i="2"/>
  <c r="AC134" i="2"/>
  <c r="AD134" i="2"/>
  <c r="AE134" i="2"/>
  <c r="AF134" i="2"/>
  <c r="AG134" i="2"/>
  <c r="AH134" i="2"/>
  <c r="AL134" i="2"/>
  <c r="AM134" i="2"/>
  <c r="AV134" i="2"/>
  <c r="BO134" i="2" s="1"/>
  <c r="AW134" i="2"/>
  <c r="AX134" i="2"/>
  <c r="BG134" i="2"/>
  <c r="BK134" i="2"/>
  <c r="BL134" i="2"/>
  <c r="O135" i="2"/>
  <c r="Q135" i="2"/>
  <c r="R135" i="2"/>
  <c r="S135" i="2"/>
  <c r="W135" i="2"/>
  <c r="X135" i="2"/>
  <c r="Y135" i="2"/>
  <c r="AA135" i="2"/>
  <c r="AC135" i="2"/>
  <c r="AD135" i="2"/>
  <c r="AE135" i="2"/>
  <c r="AF135" i="2"/>
  <c r="AG135" i="2"/>
  <c r="AH135" i="2"/>
  <c r="AL135" i="2"/>
  <c r="AM135" i="2"/>
  <c r="AW135" i="2"/>
  <c r="AX135" i="2"/>
  <c r="BG135" i="2"/>
  <c r="BK135" i="2"/>
  <c r="BL135" i="2"/>
  <c r="O136" i="2"/>
  <c r="Q136" i="2"/>
  <c r="R136" i="2"/>
  <c r="S136" i="2"/>
  <c r="W136" i="2"/>
  <c r="X136" i="2"/>
  <c r="Y136" i="2"/>
  <c r="AA136" i="2"/>
  <c r="AC136" i="2"/>
  <c r="AD136" i="2"/>
  <c r="AE136" i="2"/>
  <c r="AF136" i="2"/>
  <c r="AG136" i="2"/>
  <c r="AH136" i="2"/>
  <c r="BP136" i="2" s="1"/>
  <c r="AL136" i="2"/>
  <c r="AM136" i="2"/>
  <c r="AV136" i="2"/>
  <c r="BO136" i="2" s="1"/>
  <c r="AW136" i="2"/>
  <c r="AX136" i="2"/>
  <c r="BG136" i="2"/>
  <c r="BK136" i="2"/>
  <c r="BL136" i="2"/>
  <c r="O137" i="2"/>
  <c r="Q137" i="2"/>
  <c r="R137" i="2"/>
  <c r="S137" i="2"/>
  <c r="W137" i="2"/>
  <c r="X137" i="2"/>
  <c r="Y137" i="2"/>
  <c r="AA137" i="2"/>
  <c r="AC137" i="2"/>
  <c r="AD137" i="2"/>
  <c r="AE137" i="2"/>
  <c r="AF137" i="2"/>
  <c r="AG137" i="2"/>
  <c r="AH137" i="2"/>
  <c r="AL137" i="2"/>
  <c r="AM137" i="2"/>
  <c r="AW137" i="2"/>
  <c r="AX137" i="2"/>
  <c r="AY137" i="2"/>
  <c r="BO137" i="2" s="1"/>
  <c r="BG137" i="2"/>
  <c r="BK137" i="2"/>
  <c r="BL137" i="2"/>
  <c r="O139" i="2"/>
  <c r="Q139" i="2"/>
  <c r="R139" i="2"/>
  <c r="S139" i="2"/>
  <c r="W139" i="2"/>
  <c r="X139" i="2"/>
  <c r="Y139" i="2"/>
  <c r="AA139" i="2"/>
  <c r="AC139" i="2"/>
  <c r="AD139" i="2"/>
  <c r="AE139" i="2"/>
  <c r="AF139" i="2"/>
  <c r="AG139" i="2"/>
  <c r="AH139" i="2"/>
  <c r="AL139" i="2"/>
  <c r="AM139" i="2"/>
  <c r="AW139" i="2"/>
  <c r="AX139" i="2"/>
  <c r="BG139" i="2"/>
  <c r="BK139" i="2"/>
  <c r="BL139" i="2"/>
  <c r="BO277" i="2"/>
  <c r="BO272" i="2"/>
  <c r="BP272" i="2"/>
  <c r="BP270" i="2"/>
  <c r="BO270" i="2"/>
  <c r="BO269" i="2"/>
  <c r="BP269" i="2"/>
  <c r="AR97" i="2"/>
  <c r="P95" i="2"/>
  <c r="P92" i="2"/>
  <c r="AR92" i="2"/>
  <c r="AR91" i="2"/>
  <c r="BF90" i="2"/>
  <c r="P90" i="2"/>
  <c r="BF89" i="2"/>
  <c r="AR87" i="2"/>
  <c r="BF86" i="2"/>
  <c r="P86" i="2"/>
  <c r="BF81" i="2"/>
  <c r="BF77" i="2"/>
  <c r="AR77" i="2"/>
  <c r="BF76" i="2"/>
  <c r="AR76" i="2"/>
  <c r="AR74" i="2"/>
  <c r="AR73" i="2"/>
  <c r="AR71" i="2"/>
  <c r="BF70" i="2"/>
  <c r="P68" i="2"/>
  <c r="AR68" i="2"/>
  <c r="BF68" i="2"/>
  <c r="BF67" i="2"/>
  <c r="AR66" i="2"/>
  <c r="AR65" i="2"/>
  <c r="BF62" i="2"/>
  <c r="AR61" i="2"/>
  <c r="BF61" i="2"/>
  <c r="AR59" i="2"/>
  <c r="AR58" i="2"/>
  <c r="BF57" i="2"/>
  <c r="BF55" i="2"/>
  <c r="P55" i="2"/>
  <c r="AR54" i="2"/>
  <c r="BF52" i="2"/>
  <c r="P52" i="2"/>
  <c r="BF51" i="2"/>
  <c r="AR50" i="2"/>
  <c r="AR49" i="2"/>
  <c r="BF49" i="2"/>
  <c r="AR47" i="2"/>
  <c r="P47" i="2"/>
  <c r="BF46" i="2"/>
  <c r="AR46" i="2"/>
  <c r="AH38" i="2"/>
  <c r="BF38" i="2"/>
  <c r="AR38" i="2"/>
  <c r="AR36" i="2"/>
  <c r="AH34" i="2"/>
  <c r="BF34" i="2"/>
  <c r="AR88" i="2"/>
  <c r="AR96" i="2"/>
  <c r="P64" i="2"/>
  <c r="AR104" i="2"/>
  <c r="AR40" i="2"/>
  <c r="AR48" i="2"/>
  <c r="AR56" i="2"/>
  <c r="AR72" i="2"/>
  <c r="AR80" i="2"/>
  <c r="AH88" i="2"/>
  <c r="AH80" i="2"/>
  <c r="AH48" i="2"/>
  <c r="AH40" i="2"/>
  <c r="P88" i="2"/>
  <c r="P80" i="2"/>
  <c r="P72" i="2"/>
  <c r="BF56" i="2"/>
  <c r="BF64" i="2"/>
  <c r="BF72" i="2"/>
  <c r="BF80" i="2"/>
  <c r="BF88" i="2"/>
  <c r="BF96" i="2"/>
  <c r="AH104" i="2"/>
  <c r="AH64" i="2"/>
  <c r="P56" i="2"/>
  <c r="P48" i="2"/>
  <c r="P40" i="2"/>
  <c r="P96" i="2"/>
  <c r="BF40" i="2"/>
  <c r="BF48" i="2"/>
  <c r="P104" i="2"/>
  <c r="AH56" i="2"/>
  <c r="AH96" i="2"/>
  <c r="AH72" i="2"/>
  <c r="AH158" i="2"/>
  <c r="BO289" i="2"/>
  <c r="AR156" i="2"/>
  <c r="F199" i="2"/>
  <c r="F205" i="2"/>
  <c r="F248" i="2"/>
  <c r="F206" i="2"/>
  <c r="F249" i="2"/>
  <c r="F261" i="2"/>
  <c r="F207" i="2"/>
  <c r="F250" i="2"/>
  <c r="F208" i="2"/>
  <c r="F257" i="2"/>
  <c r="F203" i="2"/>
  <c r="F246" i="2"/>
  <c r="F252" i="2"/>
  <c r="F264" i="2"/>
  <c r="F253" i="2"/>
  <c r="F260" i="2"/>
  <c r="T203" i="2"/>
  <c r="T257" i="2"/>
  <c r="T264" i="2"/>
  <c r="Z252" i="2"/>
  <c r="Z261" i="2"/>
  <c r="Z253" i="2"/>
  <c r="T205" i="2"/>
  <c r="Z254" i="2"/>
  <c r="Z263" i="2"/>
  <c r="Z255" i="2"/>
  <c r="T250" i="2"/>
  <c r="AS23" i="2"/>
  <c r="AR158" i="2"/>
  <c r="AV13" i="2"/>
  <c r="AV7" i="2"/>
  <c r="BP84" i="2"/>
  <c r="Z202" i="2"/>
  <c r="F262" i="2"/>
  <c r="AV17" i="2"/>
  <c r="AV11" i="2"/>
  <c r="AV5" i="2"/>
  <c r="AS4" i="2"/>
  <c r="AS10" i="2"/>
  <c r="AV22" i="2"/>
  <c r="AS8" i="2"/>
  <c r="AS14" i="2"/>
  <c r="AS20" i="2"/>
  <c r="AS3" i="2"/>
  <c r="AV3" i="2"/>
  <c r="AS6" i="2"/>
  <c r="AV6" i="2"/>
  <c r="AS18" i="2"/>
  <c r="AS21" i="2"/>
  <c r="BO82" i="2"/>
  <c r="BP82" i="2"/>
  <c r="BO84" i="2"/>
  <c r="AV12" i="2"/>
  <c r="AS16" i="2"/>
  <c r="AV9" i="2"/>
  <c r="AM34" i="2"/>
  <c r="AL34" i="2"/>
  <c r="Y34" i="2"/>
  <c r="X34" i="2"/>
  <c r="AE34" i="2"/>
  <c r="S34" i="2"/>
  <c r="AC34" i="2"/>
  <c r="AA34" i="2"/>
  <c r="BE34" i="2"/>
  <c r="BD34" i="2"/>
  <c r="BB34" i="2"/>
  <c r="Q34" i="2"/>
  <c r="AK34" i="2"/>
  <c r="BA34" i="2"/>
  <c r="BC34" i="2"/>
  <c r="AI34" i="2"/>
  <c r="AT34" i="2"/>
  <c r="AW34" i="2"/>
  <c r="BN34" i="2"/>
  <c r="AZ34" i="2"/>
  <c r="BK34" i="2"/>
  <c r="R34" i="2"/>
  <c r="J34" i="2"/>
  <c r="AY34" i="2"/>
  <c r="AX34" i="2"/>
  <c r="BL34" i="2"/>
  <c r="AN34" i="2"/>
  <c r="BH34" i="2"/>
  <c r="BG34" i="2"/>
  <c r="AG34" i="2"/>
  <c r="AF34" i="2"/>
  <c r="AO34" i="2"/>
  <c r="AD34" i="2"/>
  <c r="O34" i="2"/>
  <c r="AB34" i="2"/>
  <c r="AV15" i="2"/>
  <c r="AV19" i="2"/>
  <c r="S138" i="2"/>
  <c r="AW138" i="2"/>
  <c r="AX138" i="2"/>
  <c r="R138" i="2"/>
  <c r="AD138" i="2"/>
  <c r="BK138" i="2"/>
  <c r="BL138" i="2"/>
  <c r="AC138" i="2"/>
  <c r="AA138" i="2"/>
  <c r="O138" i="2"/>
  <c r="AL138" i="2"/>
  <c r="BH138" i="2"/>
  <c r="J138" i="2"/>
  <c r="Y138" i="2"/>
  <c r="W138" i="2"/>
  <c r="X138" i="2"/>
  <c r="AF138" i="2"/>
  <c r="AM138" i="2"/>
  <c r="BG138" i="2"/>
  <c r="AG138" i="2"/>
  <c r="AE138" i="2"/>
  <c r="Q138" i="2"/>
  <c r="AY138" i="2"/>
  <c r="BO138" i="2" s="1"/>
  <c r="AB138" i="2"/>
  <c r="T263" i="2" l="1"/>
  <c r="AH252" i="2"/>
  <c r="AR248" i="2"/>
  <c r="P202" i="2"/>
  <c r="AR262" i="2"/>
  <c r="AR257" i="2"/>
  <c r="AR205" i="2"/>
  <c r="AH249" i="2"/>
  <c r="AR206" i="2"/>
  <c r="AR260" i="2"/>
  <c r="AR250" i="2"/>
  <c r="AH208" i="2"/>
  <c r="P207" i="2"/>
  <c r="AH258" i="2"/>
  <c r="AH202" i="2"/>
  <c r="AR202" i="2"/>
  <c r="BO242" i="2"/>
  <c r="BP234" i="2"/>
  <c r="AH260" i="2"/>
  <c r="BP237" i="2"/>
  <c r="BP194" i="2"/>
  <c r="Z260" i="2"/>
  <c r="BO235" i="2"/>
  <c r="BP193" i="2"/>
  <c r="BP241" i="2"/>
  <c r="BO24" i="2"/>
  <c r="BO32" i="2"/>
  <c r="BP161" i="2"/>
  <c r="AH205" i="2"/>
  <c r="AR252" i="2"/>
  <c r="Z248" i="2"/>
  <c r="BP172" i="2"/>
  <c r="BO26" i="2"/>
  <c r="BP238" i="2"/>
  <c r="P206" i="2"/>
  <c r="BP18" i="2"/>
  <c r="BP38" i="2"/>
  <c r="BO174" i="2"/>
  <c r="BO192" i="2"/>
  <c r="BO231" i="2"/>
  <c r="BO265" i="2"/>
  <c r="BO161" i="2"/>
  <c r="BP174" i="2"/>
  <c r="BO107" i="2"/>
  <c r="BP26" i="2"/>
  <c r="BO216" i="2"/>
  <c r="BP13" i="2"/>
  <c r="BP64" i="2"/>
  <c r="BP81" i="2"/>
  <c r="BP48" i="2"/>
  <c r="BP60" i="2"/>
  <c r="BO54" i="2"/>
  <c r="BP46" i="2"/>
  <c r="BO63" i="2"/>
  <c r="BO76" i="2"/>
  <c r="BO78" i="2"/>
  <c r="BP39" i="2"/>
  <c r="BP93" i="2"/>
  <c r="BO210" i="2"/>
  <c r="BO218" i="2"/>
  <c r="BO226" i="2"/>
  <c r="BO232" i="2"/>
  <c r="BO182" i="2"/>
  <c r="BP239" i="2"/>
  <c r="BP102" i="2"/>
  <c r="BP160" i="2"/>
  <c r="BO176" i="2"/>
  <c r="BO17" i="2"/>
  <c r="BO9" i="2"/>
  <c r="BO165" i="2"/>
  <c r="BP23" i="2"/>
  <c r="BP10" i="2"/>
  <c r="BO186" i="2"/>
  <c r="AH250" i="2"/>
  <c r="BO267" i="2"/>
  <c r="BO271" i="2"/>
  <c r="BP4" i="2"/>
  <c r="BO7" i="2"/>
  <c r="BP20" i="2"/>
  <c r="AH257" i="2"/>
  <c r="BO28" i="2"/>
  <c r="BO30" i="2"/>
  <c r="BP243" i="2"/>
  <c r="BP244" i="2"/>
  <c r="BP225" i="2"/>
  <c r="BQ225" i="2" s="1"/>
  <c r="BO209" i="2"/>
  <c r="BP157" i="2"/>
  <c r="BP8" i="2"/>
  <c r="BP17" i="2"/>
  <c r="BO5" i="2"/>
  <c r="BP164" i="2"/>
  <c r="BO83" i="2"/>
  <c r="BO178" i="2"/>
  <c r="BP183" i="2"/>
  <c r="BP190" i="2"/>
  <c r="BO108" i="2"/>
  <c r="BO35" i="2"/>
  <c r="BO104" i="2"/>
  <c r="BO88" i="2"/>
  <c r="BP44" i="2"/>
  <c r="BP50" i="2"/>
  <c r="BP66" i="2"/>
  <c r="BP58" i="2"/>
  <c r="BP92" i="2"/>
  <c r="BO97" i="2"/>
  <c r="BP231" i="2"/>
  <c r="BQ231" i="2" s="1"/>
  <c r="BP213" i="2"/>
  <c r="BQ213" i="2" s="1"/>
  <c r="BO11" i="2"/>
  <c r="BO157" i="2"/>
  <c r="BO106" i="2"/>
  <c r="BO156" i="2"/>
  <c r="BO164" i="2"/>
  <c r="BO229" i="2"/>
  <c r="AR256" i="2"/>
  <c r="AH256" i="2"/>
  <c r="Z256" i="2"/>
  <c r="AR263" i="2"/>
  <c r="AH263" i="2"/>
  <c r="AR249" i="2"/>
  <c r="BO4" i="2"/>
  <c r="BO41" i="2"/>
  <c r="BO243" i="2"/>
  <c r="BP28" i="2"/>
  <c r="BP83" i="2"/>
  <c r="BP42" i="2"/>
  <c r="BO8" i="2"/>
  <c r="BO190" i="2"/>
  <c r="F197" i="2"/>
  <c r="AH206" i="2"/>
  <c r="BP176" i="2"/>
  <c r="BP182" i="2"/>
  <c r="T204" i="2"/>
  <c r="F204" i="2"/>
  <c r="BO194" i="2"/>
  <c r="BO238" i="2"/>
  <c r="BO234" i="2"/>
  <c r="BP30" i="2"/>
  <c r="BO60" i="2"/>
  <c r="BO21" i="2"/>
  <c r="BO102" i="2"/>
  <c r="T249" i="2"/>
  <c r="F255" i="2"/>
  <c r="BP233" i="2"/>
  <c r="BQ233" i="2" s="1"/>
  <c r="BP24" i="2"/>
  <c r="BP32" i="2"/>
  <c r="BO244" i="2"/>
  <c r="BO193" i="2"/>
  <c r="BO241" i="2"/>
  <c r="BO237" i="2"/>
  <c r="BP68" i="2"/>
  <c r="BP104" i="2"/>
  <c r="BP80" i="2"/>
  <c r="BO95" i="2"/>
  <c r="BP77" i="2"/>
  <c r="BP73" i="2"/>
  <c r="BP56" i="2"/>
  <c r="BP37" i="2"/>
  <c r="BP107" i="2"/>
  <c r="BO40" i="2"/>
  <c r="BP40" i="2"/>
  <c r="BO62" i="2"/>
  <c r="BP52" i="2"/>
  <c r="F200" i="2"/>
  <c r="Z200" i="2"/>
  <c r="T200" i="2"/>
  <c r="Z198" i="2"/>
  <c r="F198" i="2"/>
  <c r="BO94" i="2"/>
  <c r="BP94" i="2"/>
  <c r="BP74" i="2"/>
  <c r="BO74" i="2"/>
  <c r="BP113" i="2"/>
  <c r="BP78" i="2"/>
  <c r="AH246" i="2"/>
  <c r="AR246" i="2"/>
  <c r="BO38" i="2"/>
  <c r="BP63" i="2"/>
  <c r="BO66" i="2"/>
  <c r="BP54" i="2"/>
  <c r="BO92" i="2"/>
  <c r="BO44" i="2"/>
  <c r="BP210" i="2"/>
  <c r="BQ210" i="2" s="1"/>
  <c r="P203" i="2"/>
  <c r="AH203" i="2"/>
  <c r="AR203" i="2"/>
  <c r="BO64" i="2"/>
  <c r="BO58" i="2"/>
  <c r="AR264" i="2"/>
  <c r="AH264" i="2"/>
  <c r="P208" i="2"/>
  <c r="AR208" i="2"/>
  <c r="AR207" i="2"/>
  <c r="AH207" i="2"/>
  <c r="AH199" i="2"/>
  <c r="AR199" i="2"/>
  <c r="BO72" i="2"/>
  <c r="BO50" i="2"/>
  <c r="BO46" i="2"/>
  <c r="BP226" i="2"/>
  <c r="BQ226" i="2" s="1"/>
  <c r="AH261" i="2"/>
  <c r="AR261" i="2"/>
  <c r="BP98" i="2"/>
  <c r="BO98" i="2"/>
  <c r="BO100" i="2"/>
  <c r="BP100" i="2"/>
  <c r="BP106" i="2"/>
  <c r="BP108" i="2"/>
  <c r="BP110" i="2"/>
  <c r="BP217" i="2"/>
  <c r="BQ217" i="2" s="1"/>
  <c r="BO222" i="2"/>
  <c r="BO287" i="2"/>
  <c r="BO113" i="2"/>
  <c r="BO52" i="2"/>
  <c r="BO185" i="2"/>
  <c r="BP185" i="2"/>
  <c r="BO189" i="2"/>
  <c r="BP189" i="2"/>
  <c r="BP7" i="2"/>
  <c r="BP11" i="2"/>
  <c r="BP15" i="2"/>
  <c r="BO19" i="2"/>
  <c r="BO23" i="2"/>
  <c r="BO212" i="2"/>
  <c r="BO213" i="2"/>
  <c r="BP215" i="2"/>
  <c r="BQ215" i="2" s="1"/>
  <c r="BP220" i="2"/>
  <c r="BQ220" i="2" s="1"/>
  <c r="BO224" i="2"/>
  <c r="BO228" i="2"/>
  <c r="BP158" i="2"/>
  <c r="BO173" i="2"/>
  <c r="BO177" i="2"/>
  <c r="BP180" i="2"/>
  <c r="BO184" i="2"/>
  <c r="BP191" i="2"/>
  <c r="BP211" i="2"/>
  <c r="BQ211" i="2" s="1"/>
  <c r="BO217" i="2"/>
  <c r="BP219" i="2"/>
  <c r="BQ219" i="2" s="1"/>
  <c r="BP227" i="2"/>
  <c r="BQ227" i="2" s="1"/>
  <c r="BP6" i="2"/>
  <c r="BO10" i="2"/>
  <c r="BP14" i="2"/>
  <c r="BO18" i="2"/>
  <c r="BP22" i="2"/>
  <c r="BP41" i="2"/>
  <c r="BO45" i="2"/>
  <c r="BO49" i="2"/>
  <c r="BP53" i="2"/>
  <c r="BO57" i="2"/>
  <c r="BO61" i="2"/>
  <c r="BO73" i="2"/>
  <c r="BO77" i="2"/>
  <c r="BO81" i="2"/>
  <c r="BP91" i="2"/>
  <c r="BP95" i="2"/>
  <c r="BP99" i="2"/>
  <c r="BP103" i="2"/>
  <c r="BP35" i="2"/>
  <c r="BO43" i="2"/>
  <c r="BO47" i="2"/>
  <c r="BO51" i="2"/>
  <c r="BO55" i="2"/>
  <c r="BP59" i="2"/>
  <c r="BO67" i="2"/>
  <c r="BO71" i="2"/>
  <c r="BO75" i="2"/>
  <c r="BP85" i="2"/>
  <c r="BO85" i="2"/>
  <c r="BP89" i="2"/>
  <c r="BO93" i="2"/>
  <c r="BP97" i="2"/>
  <c r="BP101" i="2"/>
  <c r="BO105" i="2"/>
  <c r="BO109" i="2"/>
  <c r="BO155" i="2"/>
  <c r="BP155" i="2"/>
  <c r="BO159" i="2"/>
  <c r="BP159" i="2"/>
  <c r="BP163" i="2"/>
  <c r="BP171" i="2"/>
  <c r="BP175" i="2"/>
  <c r="BO183" i="2"/>
  <c r="BO168" i="2"/>
  <c r="BO172" i="2"/>
  <c r="BP184" i="2"/>
  <c r="BP188" i="2"/>
  <c r="BP192" i="2"/>
  <c r="BP232" i="2"/>
  <c r="BQ232" i="2" s="1"/>
  <c r="BP181" i="2"/>
  <c r="BO181" i="2"/>
  <c r="BP186" i="2"/>
  <c r="BP19" i="2"/>
  <c r="BP27" i="2"/>
  <c r="BO27" i="2"/>
  <c r="BP31" i="2"/>
  <c r="BO31" i="2"/>
  <c r="BP25" i="2"/>
  <c r="BO25" i="2"/>
  <c r="BP29" i="2"/>
  <c r="BO29" i="2"/>
  <c r="BP33" i="2"/>
  <c r="BO33" i="2"/>
  <c r="BP240" i="2"/>
  <c r="BO240" i="2"/>
  <c r="BP236" i="2"/>
  <c r="BO236" i="2"/>
  <c r="BP245" i="2"/>
  <c r="BO245" i="2"/>
  <c r="BP36" i="2"/>
  <c r="BP96" i="2"/>
  <c r="BP72" i="2"/>
  <c r="BP76" i="2"/>
  <c r="BO80" i="2"/>
  <c r="BO90" i="2"/>
  <c r="BP221" i="2"/>
  <c r="BQ221" i="2" s="1"/>
  <c r="BP222" i="2"/>
  <c r="BQ222" i="2" s="1"/>
  <c r="BO223" i="2"/>
  <c r="BO225" i="2"/>
  <c r="BP3" i="2"/>
  <c r="BP156" i="2"/>
  <c r="BP170" i="2"/>
  <c r="BO170" i="2"/>
  <c r="BP12" i="2"/>
  <c r="BO20" i="2"/>
  <c r="BO69" i="2"/>
  <c r="BO42" i="2"/>
  <c r="Z247" i="2"/>
  <c r="F247" i="2"/>
  <c r="BO188" i="2"/>
  <c r="BO266" i="2"/>
  <c r="BO273" i="2"/>
  <c r="BO284" i="2"/>
  <c r="BO288" i="2"/>
  <c r="BP9" i="2"/>
  <c r="BP165" i="2"/>
  <c r="BP168" i="2"/>
  <c r="BO160" i="2"/>
  <c r="BO16" i="2"/>
  <c r="BP5" i="2"/>
  <c r="BO34" i="2"/>
  <c r="BP166" i="2"/>
  <c r="BO166" i="2"/>
  <c r="BP169" i="2"/>
  <c r="BO169" i="2"/>
  <c r="BP167" i="2"/>
  <c r="BO167" i="2"/>
  <c r="BO179" i="2"/>
  <c r="BP179" i="2"/>
  <c r="BP86" i="2"/>
  <c r="BO86" i="2"/>
  <c r="BO214" i="2"/>
  <c r="BP214" i="2"/>
  <c r="BQ214" i="2" s="1"/>
  <c r="BO65" i="2"/>
  <c r="BP65" i="2"/>
  <c r="BP87" i="2"/>
  <c r="BO87" i="2"/>
  <c r="BP43" i="2"/>
  <c r="BP55" i="2"/>
  <c r="BO211" i="2"/>
  <c r="BP71" i="2"/>
  <c r="BP57" i="2"/>
  <c r="BP212" i="2"/>
  <c r="BQ212" i="2" s="1"/>
  <c r="BP177" i="2"/>
  <c r="BP49" i="2"/>
  <c r="BO6" i="2"/>
  <c r="BO89" i="2"/>
  <c r="BO99" i="2"/>
  <c r="BO171" i="2"/>
  <c r="BO14" i="2"/>
  <c r="BO22" i="2"/>
  <c r="BO219" i="2"/>
  <c r="BO48" i="2"/>
  <c r="BP67" i="2"/>
  <c r="BP70" i="2"/>
  <c r="BO70" i="2"/>
  <c r="BO187" i="2"/>
  <c r="BP187" i="2"/>
  <c r="BP51" i="2"/>
  <c r="BO15" i="2"/>
  <c r="BP75" i="2"/>
  <c r="BO101" i="2"/>
  <c r="BO53" i="2"/>
  <c r="BO91" i="2"/>
  <c r="BO3" i="2"/>
  <c r="BP224" i="2"/>
  <c r="BQ224" i="2" s="1"/>
  <c r="BP34" i="2"/>
  <c r="BP228" i="2"/>
  <c r="BQ228" i="2" s="1"/>
  <c r="BP223" i="2"/>
  <c r="BQ223" i="2" s="1"/>
  <c r="BP105" i="2"/>
  <c r="BP62" i="2"/>
  <c r="BP229" i="2"/>
  <c r="BQ229" i="2" s="1"/>
  <c r="BO180" i="2"/>
  <c r="BP109" i="2"/>
  <c r="BO252" i="2"/>
  <c r="BO103" i="2"/>
  <c r="AH253" i="2"/>
  <c r="AR253" i="2"/>
  <c r="AR251" i="2"/>
  <c r="Z251" i="2"/>
  <c r="AH251" i="2"/>
  <c r="BO230" i="2"/>
  <c r="BP69" i="2"/>
  <c r="BO111" i="2"/>
  <c r="BP111" i="2"/>
  <c r="T195" i="2"/>
  <c r="F195" i="2"/>
  <c r="Z195" i="2"/>
  <c r="BP216" i="2"/>
  <c r="BQ216" i="2" s="1"/>
  <c r="BO227" i="2"/>
  <c r="BO59" i="2"/>
  <c r="BO36" i="2"/>
  <c r="BO221" i="2"/>
  <c r="AH248" i="2"/>
  <c r="BP230" i="2"/>
  <c r="BQ230" i="2" s="1"/>
  <c r="BO191" i="2"/>
  <c r="BP61" i="2"/>
  <c r="BP47" i="2"/>
  <c r="BP16" i="2"/>
  <c r="BP209" i="2"/>
  <c r="BQ209" i="2" s="1"/>
  <c r="AH262" i="2"/>
  <c r="BO220" i="2"/>
  <c r="BO233" i="2"/>
  <c r="BO175" i="2"/>
  <c r="BP173" i="2"/>
  <c r="BP90" i="2"/>
  <c r="BP45" i="2"/>
  <c r="Z196" i="2"/>
  <c r="F196" i="2"/>
  <c r="Z259" i="2"/>
  <c r="F259" i="2"/>
  <c r="BO39" i="2"/>
  <c r="BO215" i="2"/>
  <c r="BP154" i="2"/>
  <c r="BO154" i="2"/>
  <c r="BO37" i="2"/>
  <c r="Z201" i="2"/>
  <c r="F201" i="2"/>
  <c r="BO158" i="2"/>
  <c r="BO110" i="2"/>
  <c r="T254" i="2"/>
  <c r="F254" i="2"/>
  <c r="AR258" i="2"/>
  <c r="BP258" i="2" s="1"/>
  <c r="BQ258" i="2" s="1"/>
  <c r="BO68" i="2"/>
  <c r="BO163" i="2"/>
  <c r="BO162" i="2"/>
  <c r="BO96" i="2"/>
  <c r="BP218" i="2"/>
  <c r="BQ218" i="2" s="1"/>
  <c r="BO56" i="2"/>
  <c r="BP88" i="2"/>
  <c r="BP178" i="2"/>
  <c r="BP162" i="2"/>
  <c r="BO79" i="2"/>
  <c r="BP79" i="2"/>
  <c r="BO12" i="2"/>
  <c r="BO13" i="2"/>
  <c r="BP21" i="2"/>
  <c r="T262" i="2"/>
  <c r="Z262" i="2"/>
  <c r="BO202" i="2" l="1"/>
  <c r="BO257" i="2"/>
  <c r="BO205" i="2"/>
  <c r="BP260" i="2"/>
  <c r="BQ260" i="2" s="1"/>
  <c r="BP202" i="2"/>
  <c r="BO250" i="2"/>
  <c r="AH247" i="2"/>
  <c r="AR197" i="2"/>
  <c r="AH198" i="2"/>
  <c r="AR255" i="2"/>
  <c r="BP252" i="2"/>
  <c r="BQ252" i="2" s="1"/>
  <c r="BP205" i="2"/>
  <c r="BO261" i="2"/>
  <c r="BO260" i="2"/>
  <c r="BO208" i="2"/>
  <c r="BP250" i="2"/>
  <c r="BQ250" i="2" s="1"/>
  <c r="BO206" i="2"/>
  <c r="AR247" i="2"/>
  <c r="BP206" i="2"/>
  <c r="BP248" i="2"/>
  <c r="BQ248" i="2" s="1"/>
  <c r="AR198" i="2"/>
  <c r="BO249" i="2"/>
  <c r="BP257" i="2"/>
  <c r="BQ257" i="2" s="1"/>
  <c r="AH255" i="2"/>
  <c r="BP264" i="2"/>
  <c r="BQ264" i="2" s="1"/>
  <c r="BO199" i="2"/>
  <c r="BP263" i="2"/>
  <c r="BQ263" i="2" s="1"/>
  <c r="BP256" i="2"/>
  <c r="BQ256" i="2" s="1"/>
  <c r="BP249" i="2"/>
  <c r="BQ249" i="2" s="1"/>
  <c r="AH204" i="2"/>
  <c r="AR204" i="2"/>
  <c r="AH197" i="2"/>
  <c r="BO251" i="2"/>
  <c r="BO256" i="2"/>
  <c r="BP261" i="2"/>
  <c r="BQ261" i="2" s="1"/>
  <c r="BO207" i="2"/>
  <c r="BO264" i="2"/>
  <c r="BO203" i="2"/>
  <c r="BO246" i="2"/>
  <c r="P197" i="2"/>
  <c r="BP199" i="2"/>
  <c r="BO263" i="2"/>
  <c r="BP207" i="2"/>
  <c r="BP203" i="2"/>
  <c r="BP246" i="2"/>
  <c r="BQ246" i="2" s="1"/>
  <c r="BP208" i="2"/>
  <c r="AR200" i="2"/>
  <c r="AH200" i="2"/>
  <c r="AH196" i="2"/>
  <c r="AR196" i="2"/>
  <c r="AR259" i="2"/>
  <c r="AH259" i="2"/>
  <c r="AH254" i="2"/>
  <c r="AR254" i="2"/>
  <c r="BP251" i="2"/>
  <c r="BQ251" i="2" s="1"/>
  <c r="BO258" i="2"/>
  <c r="BO248" i="2"/>
  <c r="AH201" i="2"/>
  <c r="AR201" i="2"/>
  <c r="P201" i="2"/>
  <c r="AR195" i="2"/>
  <c r="AH195" i="2"/>
  <c r="BO253" i="2"/>
  <c r="BP253" i="2"/>
  <c r="BQ253" i="2" s="1"/>
  <c r="BP262" i="2"/>
  <c r="BQ262" i="2" s="1"/>
  <c r="BO262" i="2"/>
  <c r="BP198" i="2" l="1"/>
  <c r="BO255" i="2"/>
  <c r="BO247" i="2"/>
  <c r="BP247" i="2"/>
  <c r="BQ247" i="2" s="1"/>
  <c r="BP255" i="2"/>
  <c r="BQ255" i="2" s="1"/>
  <c r="BO198" i="2"/>
  <c r="BP204" i="2"/>
  <c r="BO254" i="2"/>
  <c r="BO204" i="2"/>
  <c r="BP196" i="2"/>
  <c r="BO197" i="2"/>
  <c r="BO195" i="2"/>
  <c r="BO200" i="2"/>
  <c r="BO259" i="2"/>
  <c r="BP197" i="2"/>
  <c r="BP254" i="2"/>
  <c r="BQ254" i="2" s="1"/>
  <c r="BP259" i="2"/>
  <c r="BQ259" i="2" s="1"/>
  <c r="BP200" i="2"/>
  <c r="BO196" i="2"/>
  <c r="BO201" i="2"/>
  <c r="BP201" i="2"/>
  <c r="BP195" i="2"/>
</calcChain>
</file>

<file path=xl/sharedStrings.xml><?xml version="1.0" encoding="utf-8"?>
<sst xmlns="http://schemas.openxmlformats.org/spreadsheetml/2006/main" count="2436" uniqueCount="419">
  <si>
    <t>#</t>
  </si>
  <si>
    <t>CPT/HCPCS/DRG code</t>
  </si>
  <si>
    <t>CHRG_CODE</t>
  </si>
  <si>
    <t>SHOPPABLE SERVICE</t>
  </si>
  <si>
    <t>PRIMARY SERVICE AND ANCILLARY SERVICES</t>
  </si>
  <si>
    <t>Gross Charge including implant</t>
  </si>
  <si>
    <t>Revenue Code</t>
  </si>
  <si>
    <t>Implant Charge</t>
  </si>
  <si>
    <t>Average Length of Stay</t>
  </si>
  <si>
    <t>Cash Price</t>
  </si>
  <si>
    <t>Medicare Payment Methodology</t>
  </si>
  <si>
    <t>Medicare Reimbursement</t>
  </si>
  <si>
    <t>Medi-Cal Reimbursement</t>
  </si>
  <si>
    <t>Aetna Commercial</t>
  </si>
  <si>
    <t>Aetna Senior</t>
  </si>
  <si>
    <t>Affiliated Health Funds</t>
  </si>
  <si>
    <t>Alpha Care Medical Group (Senior, Medi-Medi, Medi-Cal)</t>
  </si>
  <si>
    <t>Alpha Care Medical Group (Commercial)</t>
  </si>
  <si>
    <t>Anthem Blue Cross (Senior)</t>
  </si>
  <si>
    <t>Anthem Blue Cross (Commercial)</t>
  </si>
  <si>
    <t>Blue Shield (Commercial)</t>
  </si>
  <si>
    <t>Blue Shield (Senior)</t>
  </si>
  <si>
    <t>Caremore (Senior)</t>
  </si>
  <si>
    <t>Central Health Plan</t>
  </si>
  <si>
    <t>Cigna (Commercial)</t>
  </si>
  <si>
    <t>CorVel (Workers' Comp)</t>
  </si>
  <si>
    <t>Coventry  (Workers' Comp)</t>
  </si>
  <si>
    <t>Dignity Health (Senior/Cal Mediconnect)</t>
  </si>
  <si>
    <t>Dignity Health (Commercial)</t>
  </si>
  <si>
    <t>Wellcare (formerly Easy Choice)</t>
  </si>
  <si>
    <t>Epic (Senior and Commercial)</t>
  </si>
  <si>
    <t>Focus Healthcare Network (Workers' Comp)</t>
  </si>
  <si>
    <t>Galaxy Provider Network</t>
  </si>
  <si>
    <t>Optum/Primecare Medical Network/Healthcare Partners (Commercial)</t>
  </si>
  <si>
    <t>Optum/Primecare Medical Network/Healthcare Partners (Senior)</t>
  </si>
  <si>
    <t>Healthnet (Commercial)</t>
  </si>
  <si>
    <t>Healthnet (Senior)</t>
  </si>
  <si>
    <t>Healthnet Federal Services</t>
  </si>
  <si>
    <t>Heritage Provider Network (Commercial)</t>
  </si>
  <si>
    <t>Heritage Provider Network (Senior)</t>
  </si>
  <si>
    <t>Heritage Provider Network (Medi-Cal)</t>
  </si>
  <si>
    <t>Humana</t>
  </si>
  <si>
    <t>Humana Choice Care</t>
  </si>
  <si>
    <t>IEHP (Medi-Cal)</t>
  </si>
  <si>
    <t>IEHP (Senior)</t>
  </si>
  <si>
    <t>Kaiser (Commercial)</t>
  </si>
  <si>
    <t>Kaiser (Medi-Cal)</t>
  </si>
  <si>
    <t>Kaiser (Senior)</t>
  </si>
  <si>
    <t>Multiplan (Workers' Comp)</t>
  </si>
  <si>
    <t>Networks by Design (Workers' Comp)</t>
  </si>
  <si>
    <t>Premiercare IPA</t>
  </si>
  <si>
    <t>Primecare Medical Group of Chino Valley, Inc.  (Senior)</t>
  </si>
  <si>
    <t>Primecare Medical Group of Chino Valley (Commercial)</t>
  </si>
  <si>
    <t>Redlands Community Hospital</t>
  </si>
  <si>
    <t>Stratose (Workers' Comp)</t>
  </si>
  <si>
    <t>St. Joseph Health (Commercial)</t>
  </si>
  <si>
    <t>St. Joseph Health (Senior)</t>
  </si>
  <si>
    <t>Three Rivers Provider Network (Workers' Comp)</t>
  </si>
  <si>
    <t>United Healthcare (Senior)</t>
  </si>
  <si>
    <t>United Healthcare (Commercial)</t>
  </si>
  <si>
    <t>Universal Care, Inc. dba Brand New Day</t>
  </si>
  <si>
    <t>De-identified minimum negotiated charge</t>
  </si>
  <si>
    <t>De-identified maximum negotiated charge</t>
  </si>
  <si>
    <t>N/A</t>
  </si>
  <si>
    <t>Multiple</t>
  </si>
  <si>
    <t>AMPUTATION, BELOW OR ABOVE KNEE</t>
  </si>
  <si>
    <t>ACUTE REHAB</t>
  </si>
  <si>
    <t>IRF PPS</t>
  </si>
  <si>
    <t>BRAIN INJURY, NON-TRAUMATIC, TIER 2, ACUTE INPATIENT REHABILITATION</t>
  </si>
  <si>
    <t>BRAIN INJURY, NON-TRAUMATIC, TIER 3, ACUTE INPATIENT REHABILITATION</t>
  </si>
  <si>
    <t xml:space="preserve">BRAIN INJURY, NON-TRAUMATIC, WITHOUT COMORBIDITIES, ACUTE INPATIENT REHABILITATION </t>
  </si>
  <si>
    <t>BRAIN INJURY, TRAUMATIC, TIER 2,  ACUTE INPATIENT REHABILITATION</t>
  </si>
  <si>
    <t>BRAINI INJURY, TRAUMATIC, TIER 3, ACUTE INPATIENT REHABILITATION</t>
  </si>
  <si>
    <t>BRAIN INJURY, TRAUMATIC, WITHOUT COMORBIDITIES, ACUTE INPATIENT REHABILITATION</t>
  </si>
  <si>
    <t>CARDIAC ACUTE INPATIENT REHABILITATION</t>
  </si>
  <si>
    <t>CHRONIC OBSTRUCTIVE PULMONARY DISEASE, ACUTE INPATIENT REHABILITATOIN</t>
  </si>
  <si>
    <t>HIP OR PELVIC FRACTURE, ACUTE INPATIENT REHABILITATION</t>
  </si>
  <si>
    <t>KNEE OR HIP REPLACEMENT, TIER 3, ACUTE INPATIENT REHABILITATION</t>
  </si>
  <si>
    <t>KNEE OR HIP REPLACEMENT, WITHOUT COMORBIDITIES, ACUTE INPATIENT REHABILITATION</t>
  </si>
  <si>
    <t>NEUROLOGIC DISEASE OR DYSFUNCTION, TIER 2, ACUTE INPATIENT REHABILITATION</t>
  </si>
  <si>
    <t>NEUROLOGIC DISEASE OR DYSFUNCTION, WITHOUT COMORBIDITIES, ACUTE INPATIENT REHABILITATION</t>
  </si>
  <si>
    <t>ORTHOPEDIC, OTHER ACUTE INPATIENT REHABILITATION</t>
  </si>
  <si>
    <t>OTHER IMPAIRMENTS, ACUTE INPATIENT  REHABILITATION, TIER 1</t>
  </si>
  <si>
    <t>OTHER IMPAIRMENTS, WITHOUT COMORBIDITIES ACUTE INPATIENT REHABILITATION</t>
  </si>
  <si>
    <t>SPINAL CORD DYSFUNCTION, ACUTE INPATIENT REHABILITATION</t>
  </si>
  <si>
    <t>SPINAL CORD INJURY, TRAUMATIC, INCOMPLETE, ACUTE INPATIENT REHABILITATION</t>
  </si>
  <si>
    <t>STROKE, TIER 3, ACUTE INPATIENT REHABILITATION</t>
  </si>
  <si>
    <t>STROKE WITHOUT COMORBIDITIES, ACUTE INPATIENT REHABILITATION</t>
  </si>
  <si>
    <t>Service not provided</t>
  </si>
  <si>
    <t>PATIENT OFFICE CONSULTATION, TYPICALLY 40 MIN</t>
  </si>
  <si>
    <t>EVALUATION &amp; MANAGEMENT SERVICE</t>
  </si>
  <si>
    <t xml:space="preserve">Per Visit </t>
  </si>
  <si>
    <t>PATIENT OFFICE CONSULTATION, TYPICALLY 60 MIN</t>
  </si>
  <si>
    <t>INITIAL NEW PATIENT PREVENTIVE MEDICINE EVALUATION (18-39 YEARS)</t>
  </si>
  <si>
    <t>INITIAL NEW PATIENT PREVENTIVE MEDICINE EVALUATION (40-64 YEARS)</t>
  </si>
  <si>
    <t>PSYCHOTHERAPY, 30 min</t>
  </si>
  <si>
    <t>PSYCHOTHERAPY, 45 min</t>
  </si>
  <si>
    <t>PSYCHOTHERAPY, 60 min</t>
  </si>
  <si>
    <t>FAMILY PSYCHOTHERAPY, NOT INCLUDING PATIENT, 50 MIN</t>
  </si>
  <si>
    <t>FAMILY PSYCHOTHERAPY, INCLUDING PATIENT, 50 MIN</t>
  </si>
  <si>
    <t>GROUP PSYCHOTHERAPY</t>
  </si>
  <si>
    <t>301827850E</t>
  </si>
  <si>
    <t>I UNOGLOBULIN E</t>
  </si>
  <si>
    <t>LABORATORY &amp; PATHOLOGY SERVICE</t>
  </si>
  <si>
    <t>Per Unit</t>
  </si>
  <si>
    <t>CYCLOSPORINE A-HPLC (CYCP)</t>
  </si>
  <si>
    <t>CORTISOL TOTAL</t>
  </si>
  <si>
    <t>BLOOD DRAW</t>
  </si>
  <si>
    <t>FERRITIN</t>
  </si>
  <si>
    <t>GROWTH HORMONE</t>
  </si>
  <si>
    <t>PHOSPHORUS, SERUM</t>
  </si>
  <si>
    <t>GONADOTROPIN (FSH)</t>
  </si>
  <si>
    <t xml:space="preserve"> HEMOGRAM. AUTOMATED</t>
  </si>
  <si>
    <t xml:space="preserve"> HEMOGLOBIN TEST, GLYCATED</t>
  </si>
  <si>
    <t>VITAMIN D ASSAY</t>
  </si>
  <si>
    <t>NATRIURETIC PEPTIDE</t>
  </si>
  <si>
    <t>TESTOSTERONE, TOTAL</t>
  </si>
  <si>
    <t>FOLATE, SERUM</t>
  </si>
  <si>
    <t>ESR, ERYTHROCYTE SEDIMENTATION RATE</t>
  </si>
  <si>
    <t>VITAMIN B-12</t>
  </si>
  <si>
    <t>ASSAY OF SOMATOMEDIN</t>
  </si>
  <si>
    <t>UREA NITROGEN,SERUM</t>
  </si>
  <si>
    <t>URINE CULTURE/COLONY COUNT</t>
  </si>
  <si>
    <t>PREALBUMIN</t>
  </si>
  <si>
    <t>PTH INTACT WITH CALCIUM</t>
  </si>
  <si>
    <t>QUANTIFERON-TB GOLD</t>
  </si>
  <si>
    <t>CULTURE AEROBIC IDENTIFY</t>
  </si>
  <si>
    <t>THROMBOPLASTIN TIME PARTIAL</t>
  </si>
  <si>
    <t>C-REACTIVE PROTEIN</t>
  </si>
  <si>
    <t xml:space="preserve">PROLACTIN </t>
  </si>
  <si>
    <t>CREATININE, SERUM</t>
  </si>
  <si>
    <t>ASSAY OF IRON</t>
  </si>
  <si>
    <t>CREATININE, URINE</t>
  </si>
  <si>
    <t>CULTURE SCREEN ONLY</t>
  </si>
  <si>
    <t>PROTEIN, TOTAL SERUM</t>
  </si>
  <si>
    <t>URIC ACID, SERUM</t>
  </si>
  <si>
    <t>C-REACTIVE PROTEIN HS</t>
  </si>
  <si>
    <t>SENSITIVITY</t>
  </si>
  <si>
    <t>MICROALB/CREAT RATIO</t>
  </si>
  <si>
    <t>FREE ASSAY (FT-3)</t>
  </si>
  <si>
    <t>VALPROIC ACID (DEPAKANE)</t>
  </si>
  <si>
    <t>ASSAY OF SERUM ALBUMIN</t>
  </si>
  <si>
    <t>VIT B, PLASMA (THIAMINE)</t>
  </si>
  <si>
    <t>ASSAY TRIIODOTHYRONINE (T3)</t>
  </si>
  <si>
    <t>LUPUS 12 PANEL</t>
  </si>
  <si>
    <t>RBC ANTIBODY SCREEN</t>
  </si>
  <si>
    <t>BLOOD TYPING ABO</t>
  </si>
  <si>
    <t>BLOOD TYPING RH (D)</t>
  </si>
  <si>
    <t>BLOOD CULTURE</t>
  </si>
  <si>
    <t>BASIC METABOLIC PANEL (CHEM 7)</t>
  </si>
  <si>
    <t>COMPREHENSV METABOLIC PNL(CH 12)</t>
  </si>
  <si>
    <t>LIPID REFLEX PANEL</t>
  </si>
  <si>
    <t>RENAL FUNCTION PANEL</t>
  </si>
  <si>
    <t>SLIVER (HEPATIC) PANEL</t>
  </si>
  <si>
    <t>SPECIFIC GRAVITY URINE (USPG)</t>
  </si>
  <si>
    <t>URINALYSIS MICROBIOLOGY</t>
  </si>
  <si>
    <t>URINALYSIS AUTO W/O SCOPE</t>
  </si>
  <si>
    <t>PROSTATE SPECIFIC ANTIGEN</t>
  </si>
  <si>
    <t>ASSAY THYROID STIM HORMONE</t>
  </si>
  <si>
    <t>COMPLETE CBC AUTOMATED</t>
  </si>
  <si>
    <t>PROTHROMBIN TIME</t>
  </si>
  <si>
    <t>PROTEIN ELECTRO,SERUM (EPS)</t>
  </si>
  <si>
    <t>PROTEIN, TOTAL URINE</t>
  </si>
  <si>
    <t>CREATINE KINASE</t>
  </si>
  <si>
    <t>IMMUNOFIXATION SERUM</t>
  </si>
  <si>
    <t>LUTEINIZING HORMONE (LH)</t>
  </si>
  <si>
    <t>ANA SCREEN</t>
  </si>
  <si>
    <t>RHEUMATOID FACTOR</t>
  </si>
  <si>
    <t>VITAMIN D-1-25</t>
  </si>
  <si>
    <t>VOLUME MANAGEMENT URINE</t>
  </si>
  <si>
    <t>IONIZED CALCIUM</t>
  </si>
  <si>
    <t>ESTRADIO, EXTRACTION</t>
  </si>
  <si>
    <t>AMMONIA</t>
  </si>
  <si>
    <t>LIPASE</t>
  </si>
  <si>
    <t>MICOSOMAL ANTIBODY</t>
  </si>
  <si>
    <t>BILIRUBIN, DIRECT</t>
  </si>
  <si>
    <t>ANTI GLIADIN AB PANEL</t>
  </si>
  <si>
    <t>T4 BY RIA</t>
  </si>
  <si>
    <t>MEASLES AB IGG</t>
  </si>
  <si>
    <t xml:space="preserve">LACTIC ACID </t>
  </si>
  <si>
    <t>LACTIC DEHYDROGENASE (LDH), BLOOD; KINETIC ULTRAVIOLET METHOD</t>
  </si>
  <si>
    <t>NEURONAL NECLEAR AB</t>
  </si>
  <si>
    <t>OBSTETRIC BLOOD TEST PANEL</t>
  </si>
  <si>
    <t>BILIRUBIN TOTAL</t>
  </si>
  <si>
    <t>PROSTATE SPECIFIC ANTIGEN (PSA)</t>
  </si>
  <si>
    <t>PHYSICAL THERAPY-NEUROMUSCULAR RE-EDUCATION - 15 MIN</t>
  </si>
  <si>
    <t>OUTPATIENT THERAPY</t>
  </si>
  <si>
    <t>Per 15 minutes</t>
  </si>
  <si>
    <t>178 Per Visit</t>
  </si>
  <si>
    <t>172 Per Visit</t>
  </si>
  <si>
    <t>130 Per Visit</t>
  </si>
  <si>
    <t>156 Per Visit</t>
  </si>
  <si>
    <t>140 Per Visit</t>
  </si>
  <si>
    <t>118 Per Visit</t>
  </si>
  <si>
    <t>137 Per Visit</t>
  </si>
  <si>
    <t>Not Separately Reimbursable</t>
  </si>
  <si>
    <t>135 Per Visit</t>
  </si>
  <si>
    <t>138 Per Visit</t>
  </si>
  <si>
    <t>150 Per Visit</t>
  </si>
  <si>
    <t>155 Per Visit</t>
  </si>
  <si>
    <t>152 Per Visit</t>
  </si>
  <si>
    <t>192 PER VISIT</t>
  </si>
  <si>
    <t>PHYSICAL THERAPY-MANUAL THERAPY - 15 MIN</t>
  </si>
  <si>
    <t>PHYSICAL THERAPY-THERAPEUTIC ACTIVITIES, 15 MIN</t>
  </si>
  <si>
    <t>115 Per Visit</t>
  </si>
  <si>
    <t>PHYSICAL THERAPY-AQUATIC THERAPY EXERCISES</t>
  </si>
  <si>
    <t>TREATMENT OF SPEECH,LANGUAGE,VOICE, COMMUNICATION AND/OR AUDITORY PROCESSING</t>
  </si>
  <si>
    <t>PHYSICAL THERAPY-GAIT TRAINING 15 MIN</t>
  </si>
  <si>
    <t>PHYSICAL THERAPY-SELF CARE/HOME MANAGMENT 15 MIN</t>
  </si>
  <si>
    <t>PHYSICAL THERAPY EVALUATION LOWCOMPLEXITY</t>
  </si>
  <si>
    <t>PHYSICAL THERAPY EVALUATION MODERATE COMPLEXITY</t>
  </si>
  <si>
    <t>PHYSICAL THERAPY EVALUATION,  HIGH COMPLEX</t>
  </si>
  <si>
    <t>PHYSICAL THERAPY RE-EVAL EST PLAN CARE</t>
  </si>
  <si>
    <t>PHYSICAL THERAPY-THERAPY PROCEDURE GROUP</t>
  </si>
  <si>
    <t>PHYSICAL THERAPY-FLUIDIOSCOPY/WHIRLPOOL THERAPY</t>
  </si>
  <si>
    <t xml:space="preserve"> PHYSICAL THERAPY-PARAFFIN BATH THERAPY</t>
  </si>
  <si>
    <t>PHYSICAL THERAPY-WHEELCHAIR MANAGMENT 15 MIN</t>
  </si>
  <si>
    <t>118 per visit</t>
  </si>
  <si>
    <t xml:space="preserve"> PHYSICAL THERAPY-ULTRASOUND THERAPY</t>
  </si>
  <si>
    <t>OCCUPATIONAL THERAPY EVALUATION MODERATE COMPLEXITY</t>
  </si>
  <si>
    <t>Non-Covered Benefit</t>
  </si>
  <si>
    <t xml:space="preserve"> SPEECH/HEARING THERAPY</t>
  </si>
  <si>
    <t xml:space="preserve">EVALUATION OF SPEECH SOUND PRODUCTION WITH EVALUATION OF LANGUAGE COMPREHENSION AND EXPRESSION </t>
  </si>
  <si>
    <t>PHYSICAL THERAPY - ELECTRIC CURRENT THERAPY</t>
  </si>
  <si>
    <t>OCCUPATIONAL THERAPY  EVALUATION,  HIGH COMPLEXITY</t>
  </si>
  <si>
    <t xml:space="preserve"> ORAL FUNCTION SPEECH THERAPY</t>
  </si>
  <si>
    <t>PHYSICAL THERAPY  RE-EVALUATION ESTABLISHED CARE PLAN</t>
  </si>
  <si>
    <t>ROM EXTREMITY/SPINE PT</t>
  </si>
  <si>
    <t>PHYSICAL THERAPY ASSISTIVE TECH ASSESSMENT</t>
  </si>
  <si>
    <t>MOTION FLUOROSCOPIC EVALUATION OF SWALLOWING FUNCTION</t>
  </si>
  <si>
    <t>PHYSICAL THERAPY - ELECTRICAL STIMULATION , ATTENDED - 15 MIN</t>
  </si>
  <si>
    <t>PHYSICAL THERAPY - TRACTION, MECHANICAL</t>
  </si>
  <si>
    <t>ORAL &amp; PHARYNGEAL SWALLOWING FUNCTUNCTION EVALUATION</t>
  </si>
  <si>
    <t>PHYSICAL THERAPY - ORTHOTIC FITTING, INITIAL</t>
  </si>
  <si>
    <t>44.86 Per Visit</t>
  </si>
  <si>
    <t>FIT SPEECH  DEVICE/AAC, THERAPEUTIC USE</t>
  </si>
  <si>
    <t>PHYSICAL THERAPY - BIOFEEDBACK TRAINING</t>
  </si>
  <si>
    <t>41.44 Per Visit</t>
  </si>
  <si>
    <t>PHYSICAL THERAPY - ORTHOTIC/PROSTHETIC MANAGEMENT AND/OR TRAINING</t>
  </si>
  <si>
    <t>54.88 Per Visit</t>
  </si>
  <si>
    <t>BIOFEEDBACK, 1ST 15 MINUTES</t>
  </si>
  <si>
    <t>PHYSICAL THERAPY - FCE-FUNCTIONAL CAPACITY EVAL 1 DAY</t>
  </si>
  <si>
    <t>PHYSICAL THERAPY - CONTRAST BATH - 15 MIN</t>
  </si>
  <si>
    <t>OCCUPATIONAL THERAPY - CONTRAST BATH - 15 MIN</t>
  </si>
  <si>
    <t>PHYSICAL THERAPY-THERAPEUTIC EXERCISE, 15 MIN</t>
  </si>
  <si>
    <t>SPEECH DEVICE/AAC EVALUATION - 1ST HR</t>
  </si>
  <si>
    <t>Per 60 minutes</t>
  </si>
  <si>
    <t>SEPTICEMIA OR SEVERE SEPSIS WITHOUT MECHANICAL VENTILATION &gt;96 HOURS</t>
  </si>
  <si>
    <t>PRIMARY INPATIENT MEDICINE AND SURGERY SERVICE</t>
  </si>
  <si>
    <t>IPPS</t>
  </si>
  <si>
    <t>HEART FAILURE &amp; SHOCK</t>
  </si>
  <si>
    <t>INFECTIOUS &amp; PARASITIC DISEASES WITH A PROCEDURE</t>
  </si>
  <si>
    <t xml:space="preserve">CIRRHOSIS &amp; ALCOHOLIC HEPATITIS </t>
  </si>
  <si>
    <t>MAJOR SMALL OR LARGE BOWEL PROCEDURES</t>
  </si>
  <si>
    <t>RESPIRATORY INFECTIONS &amp; INFLAMMATIONS</t>
  </si>
  <si>
    <t>RENAL FAILURE</t>
  </si>
  <si>
    <t>ESOPHAGITIS, GASTROENTERITIS AND MISCELLANEOUS DIGESTIVE DISORDERS</t>
  </si>
  <si>
    <t>INTRACRANIAL HEMORRHAGE OR CEREBRAL INFARCTION WITH COMPLICATION OR COMORBIDITY OR TPA IN 24 HOURS</t>
  </si>
  <si>
    <t>MAJOR SMALL AND LARGE BOWEL PROCEDURES WITHOUT COMLICATION OR MAJOR COMORBIDITY</t>
  </si>
  <si>
    <t xml:space="preserve">SEPTICEMIA OR SEVERE SEPSIS WITHOUT MECHANICAL VVENTILATION &gt;96 HOURS WITHOUT MAJOR COMPLICATION OR COMORBIDITY </t>
  </si>
  <si>
    <t>DIABETES WITH COMPLICATION OR COMORBIDITIES</t>
  </si>
  <si>
    <t xml:space="preserve">SEPTICEMIA OR SEVERE SEPSIS WITH  MECHANICAL VENTILATION &gt;96 HOURS </t>
  </si>
  <si>
    <t>MAJOR SMALL AND LARGE BOWEL PROCEDURES W MAJOR COMORBIDITIES</t>
  </si>
  <si>
    <t>RENAL FAILURE WITH COMPLICATION OR COMORBIDITY</t>
  </si>
  <si>
    <t>PULMONARY EDEMA &amp; REPIRATORY FAILURE</t>
  </si>
  <si>
    <t>SIMPLE PNEUMONIA OR PLEURISY WITH MAJOR COMPLICATION OR COMORBIDITY</t>
  </si>
  <si>
    <t>GASTORINTESTINAL  OBSTRUCTION WITH COMPLICATION OR COMORBIDITY</t>
  </si>
  <si>
    <t>MISC DISORDERS OF NUTRITION, METABOLISM, FLUIDS/ELECTROLYTES W MCC</t>
  </si>
  <si>
    <t>KIDNEY &amp; URINARY TRACT INFECTIONS W/O MCC</t>
  </si>
  <si>
    <t>G.I. HEMORRHAGE W CC</t>
  </si>
  <si>
    <t>NONSPECIFIC CEREBROVASCULAR DISORDERS W MCC</t>
  </si>
  <si>
    <t>DISORDERS OF PANCREAS EXCEPT MALIGNANCY W MCC</t>
  </si>
  <si>
    <t>CELLULITIS W/O MCC</t>
  </si>
  <si>
    <t>ACUTE MYOCARDIAL INFARCTION, DISCHARGED ALIVE W MCC</t>
  </si>
  <si>
    <t>G.I. HEMORRHAGE W MCC</t>
  </si>
  <si>
    <t>SEIZURES W MCC</t>
  </si>
  <si>
    <t>KIDNEY &amp; URINARY TRACT INFECTIONS W MCC</t>
  </si>
  <si>
    <t>SIMPLE PNEUMONIA &amp; PLEURISY W CC</t>
  </si>
  <si>
    <t>MEDICAL BACK PROBLEMS W/O MCC</t>
  </si>
  <si>
    <t>RED BLOOD CELL DISORDERS W/O MCC</t>
  </si>
  <si>
    <t>AMPUTATION FOR CIRC SYS DISORDERS EXCLUDING  UPPER LIMB &amp; TOE W MCC</t>
  </si>
  <si>
    <t>RESPIRATORY SYSTEM DIAGNOSIS W VENTILATOR SUPPORT &lt;=96 HOURS</t>
  </si>
  <si>
    <t>MAJOR GASTROINTESTINAL DISORDERS &amp; PERITONEAL INFECTIONS W MCC</t>
  </si>
  <si>
    <t>DISORDERS OF PANCREAS EXCEPT MALIGNANCY W CC</t>
  </si>
  <si>
    <t>AMPUTATION OF LOWER LIMB FOR ENDOCRINE, NUTRITION, &amp; METABOLIC DISORDERS W CC</t>
  </si>
  <si>
    <t>NONSPECIFIC CEREBROVASCULAR DISORDERS W CC</t>
  </si>
  <si>
    <t>SEIZURES W/O MCC</t>
  </si>
  <si>
    <t>SYNCOPE &amp; COLLAPSE</t>
  </si>
  <si>
    <t>UTERINE AND ADNEXA PROCEDURE, NON-MALIGNANT</t>
  </si>
  <si>
    <t>CARDIAC VALVE AND OTHER MAJOR CARDIOTHORACIC PROCEDURES WITH CARDIAC CATHETERIZATION WITH MAJOR COMPLICATIONS OR CORMORBIDITIES</t>
  </si>
  <si>
    <t>SPINAL FUSION, CERVICAL</t>
  </si>
  <si>
    <t>PRIMARY INPATIENT MEDICINE AND SURGERY SERVICE WITH IMPLANT</t>
  </si>
  <si>
    <t>KNEE OR HIP JOINT REPLACEMENT</t>
  </si>
  <si>
    <t>SPINAL FUSION EXCEPT CERVICAL</t>
  </si>
  <si>
    <t>BACK AND NECK PROCEDURE EXCEPT  SPINAL FUSION</t>
  </si>
  <si>
    <t>BACK AND NECK PROCEDURE EXCLUDING SPINAL FUSION WITHOUT COMORBIDITIES</t>
  </si>
  <si>
    <t>FUSION, CERVICAL SPINAL WITH COMORBIDITIES</t>
  </si>
  <si>
    <t>MAJOR HIP AND KNEE JOINT REPLACEMENT</t>
  </si>
  <si>
    <t>SHOULDER JOINT REPLACEMENT</t>
  </si>
  <si>
    <t>CRANIOTOMY &amp; ENDOVASCULAR INTRACRANIAL PROCEDURES W MCC</t>
  </si>
  <si>
    <t>CRANIOTOMY &amp; ENDOVASCULAR INTRACRANIAL PROCEDURES W/O CC/MCC</t>
  </si>
  <si>
    <t>CHOLECYSTECTOMY EXCEPT BY LAPAROSCOPE W/O C.D.E. W CC</t>
  </si>
  <si>
    <t>TRACH W MV &gt;96 HRS OR PDX EXC FACE, MOUTH &amp; NECK W/O MAJ O.R.</t>
  </si>
  <si>
    <t>COMBINED ANTERIOR/POSTERIOR SPINAL FUSION W/O CC/MCC</t>
  </si>
  <si>
    <t>COMBINED ANTERIOR/POSTERIOR SPINAL FUSION W MCC</t>
  </si>
  <si>
    <t xml:space="preserve"> GASTROINTESTINAL  ENDOSCOPY, UPPER WITH BIOPSY</t>
  </si>
  <si>
    <t>PRIMARY OUTPATIENT MEDICINE AND SURGERY SERVICE</t>
  </si>
  <si>
    <t>OPPS</t>
  </si>
  <si>
    <t>COLONOSCOPY AND BIOPSY</t>
  </si>
  <si>
    <t>COLONOSCOPY, DIAGNOSTIC</t>
  </si>
  <si>
    <t>COLONOSCOPY WITH LESION REMOVAL</t>
  </si>
  <si>
    <t>KNEE JOINT FIXATION</t>
  </si>
  <si>
    <t>UPPER GASTROINTESTINAL ENDOSCOPY,UPPER,  DIAGNOSTIC</t>
  </si>
  <si>
    <t>DILATE ESOPHAGUS</t>
  </si>
  <si>
    <t>CHOLECYSTECTOMY (GALL BLADDER REMOVAL), LAPAROSCOPIC</t>
  </si>
  <si>
    <t>HERNIA REPAIR, INGUINAL, 5+ YEARS OLD, INITIAL,  LAPAROSCOPIC</t>
  </si>
  <si>
    <t>MASTECTOMY,  PARTIAL</t>
  </si>
  <si>
    <t>SIGMOIDOSCOPY WITH BIOPSY</t>
  </si>
  <si>
    <t>COLONSCOPY WITH SUBMUCOUS INJECTION</t>
  </si>
  <si>
    <t>INJECTION FOR NERVE BLOCK</t>
  </si>
  <si>
    <t>CARPAL TUNNEL SURGERY</t>
  </si>
  <si>
    <t xml:space="preserve">COMPLEX NEUROSTIMULATOR ANALYZER </t>
  </si>
  <si>
    <t>GASTROSTOMY TUBE INSERTION PROCEDURE</t>
  </si>
  <si>
    <t xml:space="preserve"> ENDOSCOPY, UPPER, OPERATIVE</t>
  </si>
  <si>
    <t xml:space="preserve">HERNIA REPAIR,  UMBILICAL </t>
  </si>
  <si>
    <t xml:space="preserve">BONE BIOPSY, EXCISIONAL </t>
  </si>
  <si>
    <t>HERNIA REPAIR, INGUINAL, RECURRENT, LAPAROSCOPIC</t>
  </si>
  <si>
    <t>11043</t>
  </si>
  <si>
    <t>DEBRIDEMENT SUBCUTANEOUS TISSUE/MUSCLE</t>
  </si>
  <si>
    <t>HERNIA REPAIR, INGUINAL, 5+ YEARS OLD</t>
  </si>
  <si>
    <t>55866</t>
  </si>
  <si>
    <t>PROSTATE REMOVAL, LAPAROSCOPIC, RADICAL</t>
  </si>
  <si>
    <t>SPINAL INJECTION DIAGNOSTIC</t>
  </si>
  <si>
    <t>REMOVAL OF 1 OR MORE BREAST GROWTH, OPEN PROCEDURE</t>
  </si>
  <si>
    <t>INJECTIONS OF ANESTHETIC AND/OR STEROID DRUG INTO LOWER OR SACRAL SPINE NERVE ROOT USING IMAGING GUIDANCE</t>
  </si>
  <si>
    <t>REMOVAL OF TONSILS AND ADENOID GLANDS PATIENT YOUNGER THAN AGE 12</t>
  </si>
  <si>
    <t>ULTRASOUND EXAMINATION OF LOWER LARGE BOWEL USING AN ENDOSCOPE</t>
  </si>
  <si>
    <t>BIOPSY OF PROSTATE GLAND</t>
  </si>
  <si>
    <t>ROUTINE OBSTETRIC CARE FOR VAGINAL DELIVERY, INCLUDING PRE- AND POST - DELIVERY CARE</t>
  </si>
  <si>
    <t>ROUTINE OBSTETRIC CARE FOR CESAREAN DELIVERY, INCLUDING PRE- AND POST DELIVERY CARE</t>
  </si>
  <si>
    <t>ROUTINE OBSTETRIC CARE FOR VAGINAL DELIVERY AFTER PRIOR CESAREAN DELIVERY INCLUDING PRE- AND POST - DELIVERY CARE</t>
  </si>
  <si>
    <t>INJECTION OF SUBSTANCE INTO SPINAL CANAL OF LOWER BACK OR SACRUM USING IMAGING GUIDANCE</t>
  </si>
  <si>
    <t>REMOVAL OF RECURRING CATARACT IN LENS CAPSULE USING LASER</t>
  </si>
  <si>
    <t>REMOVAL OF CATARACT WITH INSERTION OF LENS</t>
  </si>
  <si>
    <t>INSERTION OF CATHETER INTO LEFT HEART DIAGNOSIS</t>
  </si>
  <si>
    <t>SLEEP STUDY</t>
  </si>
  <si>
    <t>INJECTION DESTRUCTION BY NEUROLYTIC AGENT, OTHER</t>
  </si>
  <si>
    <t>PRIMARY OUTPATIENT MEDICINE AND SURGERY SERVICE WITH IMPLANT</t>
  </si>
  <si>
    <t>REMOVAL OF SPINAL LAMINA</t>
  </si>
  <si>
    <t>NECK SPINE FUSION AND REMOVAL BELOW CERVICAL VERTEBRA 3</t>
  </si>
  <si>
    <t>HAMMERTOE REPAIR</t>
  </si>
  <si>
    <t>DISK SURGERY, LOW BACK</t>
  </si>
  <si>
    <t>TOTAL KNEE REPLACEMENT</t>
  </si>
  <si>
    <t>REMOVAL OF SUPPORT IMPLANT</t>
  </si>
  <si>
    <t xml:space="preserve"> NEURORECEIVER IMPLANT</t>
  </si>
  <si>
    <t xml:space="preserve"> BUNION CORRECTION PROCEDURE</t>
  </si>
  <si>
    <t>FRACTURES METATARSAL REPAIR</t>
  </si>
  <si>
    <t>NEUROELECTRODE IMPLANT</t>
  </si>
  <si>
    <t>SIGMOIDOSCOPY, DIAGNOSTIC</t>
  </si>
  <si>
    <t xml:space="preserve">KNEE ARTHROSCOPY </t>
  </si>
  <si>
    <t>NEURORECEIVER IMPLANT</t>
  </si>
  <si>
    <t>VERTEBRAL AUGMENTATION OF LUMBAR, PERCUTANEOUS</t>
  </si>
  <si>
    <t>ANKLE LIGAMENT REPAIR</t>
  </si>
  <si>
    <t>11042</t>
  </si>
  <si>
    <t>DEBRIDEMENT SUBCUTANEOUS TISSUE</t>
  </si>
  <si>
    <t>15271</t>
  </si>
  <si>
    <t>SKIN SUBSTITUTE;TRUNK,ARM,LEG 1ST 25CM</t>
  </si>
  <si>
    <t>ARTHROSCOPY,SHOULDER,SURGICAL</t>
  </si>
  <si>
    <t>BIOFEEDBACK/EMG PELVIC ADDL 15</t>
  </si>
  <si>
    <t>COMPUTERIZED POSTUROGRAPHY</t>
  </si>
  <si>
    <t>ROM EA HAND W REPORT PT</t>
  </si>
  <si>
    <t>510295810L</t>
  </si>
  <si>
    <t>COMPRESSION WRAPPING, MULTILAYER APPLICATION</t>
  </si>
  <si>
    <t>PRIMARY OUTPATIENT SERVICE</t>
  </si>
  <si>
    <t>NEW OUPATIENT VISIT 30-44 MINUTES</t>
  </si>
  <si>
    <t>NEW OUPATIENT VISIT 45- 59 MINUTES</t>
  </si>
  <si>
    <t>DEVELOPMENTAL TEST 1ST HR PT</t>
  </si>
  <si>
    <t>NEW OUTPATIENT VISIT 60-74 MINUTES</t>
  </si>
  <si>
    <t>VASOPNEUMATIC DEVICES PT</t>
  </si>
  <si>
    <t xml:space="preserve"> ELECTROMYOGRAPHY, LIMITED</t>
  </si>
  <si>
    <t>EKG 12 LEAD INCLUDING INTERPRETATION AND REPORT</t>
  </si>
  <si>
    <t>THERAPUTIC OR DIAGNOSTIC INJECTION, PROPHYLACTIC</t>
  </si>
  <si>
    <t xml:space="preserve">BILATERAL NON-INVASIVE PHYSIOLOGICAL STUDY OF UPPER OR LOWER EXTREMETY ARTERIES </t>
  </si>
  <si>
    <t>NERVE CONDUCTION STUDY 7-8</t>
  </si>
  <si>
    <t>510295800L</t>
  </si>
  <si>
    <t>UNNA BOOT 4 LAYERS</t>
  </si>
  <si>
    <t>CARDIOVASCULAR  STRESS TEST, MULTIPLE LEAD</t>
  </si>
  <si>
    <t>NERVE CONDUCTION STUDY 5-6</t>
  </si>
  <si>
    <t>DEBRIDEMENT FIBRIN, EPIDERMIS,EXUDATE, BIOFILMJ</t>
  </si>
  <si>
    <t>EKG WITHOUT INTERPRETATION</t>
  </si>
  <si>
    <t>MASSAGE 15M PT</t>
  </si>
  <si>
    <t>NERVE CONDUCTION STUDY 9-10</t>
  </si>
  <si>
    <t>VISUAL FIELD EXAM -EXTENDED</t>
  </si>
  <si>
    <t>THER INTV COG FCT INIT 15 M PT</t>
  </si>
  <si>
    <t>THER INTV COG FCT ADDL 15M PT</t>
  </si>
  <si>
    <t>NEGATIVE PRESS WOUND THERAPY, DME,&lt;</t>
  </si>
  <si>
    <t>CT SCAN, HEAD OR BRAIN, WITHOUT CONTRAST</t>
  </si>
  <si>
    <t>RADIOLOGY</t>
  </si>
  <si>
    <t>MRI SCAN OF BRAIN BEFORE AND AFTER CONTRAST</t>
  </si>
  <si>
    <t>X-RAY, LOWER BACK, MINIMUM FOUR VIEWS</t>
  </si>
  <si>
    <t>MRI SCAN OF LOWER SPINAL CANAL</t>
  </si>
  <si>
    <t>CT SCAN, PELVIS, WITH CONTRAST</t>
  </si>
  <si>
    <t>616737211L</t>
  </si>
  <si>
    <t>MRI SCAN OFLEG JOINT</t>
  </si>
  <si>
    <t>CT SCAN OF ABDOMEN AND PELVIS WITH CONTRAST</t>
  </si>
  <si>
    <t>ULTRASOUND OF ABDOMEN</t>
  </si>
  <si>
    <t>ABDOMINAL ULTRASOUND OF PREGNANT UTERUS (GREATER OR EQUAL TO 14 WEEKS 0 DAYS) SINGLE OR FIRST FETUS</t>
  </si>
  <si>
    <t>ULTRASOUND PELVIS THROUGH VAGINA</t>
  </si>
  <si>
    <t>MAMMOGRAPHY OF ONE BREAST</t>
  </si>
  <si>
    <t>MAMMOGRAPHY OF BOTH BREASTS</t>
  </si>
  <si>
    <t>MAMMOGRAPHY, SCREENING, BILATERAL</t>
  </si>
  <si>
    <t>202 Per Visit</t>
  </si>
  <si>
    <t>179 Per Visit</t>
  </si>
  <si>
    <t>197 Per Visit</t>
  </si>
  <si>
    <t>Prospect/Astronia Health Plan (Senior)</t>
  </si>
  <si>
    <t>Prospect/Astronia Health Plan (Commercial)</t>
  </si>
  <si>
    <t>Prospect/Astronia Health Plan (Medi-Cal)</t>
  </si>
  <si>
    <t>Prospect/Astronia Medical Group</t>
  </si>
  <si>
    <t>Effective Date: 12/1/25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</si>
</sst>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>
      <alignment vertical="top"/>
    </xf>
    <xf numFmtId="0" fontId="10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>
      <alignment wrapText="1"/>
    </xf>
  </cellStyleXfs>
  <cellXfs count="34">
    <xf numFmtId="0" fontId="0" fillId="0" borderId="0" xfId="0">
      <alignment vertical="top"/>
    </xf>
    <xf numFmtId="43" fontId="1" fillId="0" borderId="0" xfId="1" applyFont="1" applyFill="1">
      <alignment vertical="top"/>
    </xf>
    <xf numFmtId="43" fontId="0" fillId="0" borderId="0" xfId="1" applyFont="1" applyFill="1">
      <alignment vertical="top"/>
    </xf>
    <xf numFmtId="43" fontId="4" fillId="0" borderId="0" xfId="1" applyFont="1" applyFill="1">
      <alignment vertical="top"/>
    </xf>
    <xf numFmtId="43" fontId="5" fillId="0" borderId="0" xfId="1" applyFont="1" applyFill="1">
      <alignment vertical="top"/>
    </xf>
    <xf numFmtId="43" fontId="7" fillId="0" borderId="0" xfId="1" applyFont="1" applyFill="1" applyAlignment="1">
      <alignment horizontal="center"/>
    </xf>
    <xf numFmtId="43" fontId="7" fillId="0" borderId="0" xfId="1" applyFont="1" applyFill="1" applyAlignment="1">
      <alignment horizontal="center" wrapText="1"/>
    </xf>
    <xf numFmtId="43" fontId="6" fillId="0" borderId="0" xfId="1" applyFont="1" applyFill="1" applyAlignment="1">
      <alignment horizontal="center" vertical="top"/>
    </xf>
    <xf numFmtId="43" fontId="1" fillId="0" borderId="0" xfId="1" applyFont="1" applyFill="1" applyAlignment="1">
      <alignment horizontal="center" vertical="top"/>
    </xf>
    <xf numFmtId="43" fontId="0" fillId="0" borderId="0" xfId="1" applyFont="1" applyFill="1" applyAlignment="1">
      <alignment horizontal="center" vertical="top"/>
    </xf>
    <xf numFmtId="43" fontId="0" fillId="0" borderId="0" xfId="1" applyFont="1" applyFill="1" applyAlignment="1">
      <alignment horizontal="center"/>
    </xf>
    <xf numFmtId="43" fontId="1" fillId="0" borderId="0" xfId="1" applyFont="1" applyFill="1" applyAlignment="1"/>
    <xf numFmtId="43" fontId="0" fillId="0" borderId="0" xfId="1" applyFont="1" applyFill="1" applyAlignment="1"/>
    <xf numFmtId="43" fontId="1" fillId="0" borderId="0" xfId="1" applyFont="1" applyFill="1" applyAlignment="1">
      <alignment vertical="top"/>
    </xf>
    <xf numFmtId="43" fontId="0" fillId="0" borderId="0" xfId="1" applyFont="1" applyFill="1" applyAlignment="1">
      <alignment vertical="top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43" fontId="0" fillId="0" borderId="0" xfId="0" applyNumberFormat="1" applyFill="1">
      <alignment vertical="top"/>
    </xf>
    <xf numFmtId="0" fontId="0" fillId="0" borderId="0" xfId="0" applyFill="1">
      <alignment vertical="top"/>
    </xf>
    <xf numFmtId="0" fontId="0" fillId="0" borderId="0" xfId="0" applyFill="1" applyAlignment="1">
      <alignment horizontal="center" vertical="top"/>
    </xf>
    <xf numFmtId="0" fontId="1" fillId="0" borderId="0" xfId="0" applyFont="1" applyFill="1">
      <alignment vertical="top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 wrapText="1"/>
    </xf>
    <xf numFmtId="0" fontId="0" fillId="0" borderId="0" xfId="0" applyFill="1" applyAlignment="1"/>
    <xf numFmtId="0" fontId="11" fillId="0" borderId="0" xfId="8" applyFont="1" applyFill="1" applyAlignment="1">
      <alignment horizontal="center" vertical="top"/>
    </xf>
    <xf numFmtId="0" fontId="3" fillId="0" borderId="0" xfId="0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12" fillId="0" borderId="0" xfId="1" applyFont="1" applyFill="1" applyAlignment="1">
      <alignment horizontal="right"/>
    </xf>
    <xf numFmtId="43" fontId="1" fillId="0" borderId="0" xfId="1" applyFont="1" applyFill="1" applyAlignment="1">
      <alignment horizontal="center"/>
    </xf>
  </cellXfs>
  <cellStyles count="10">
    <cellStyle name="Comma" xfId="1" builtinId="3"/>
    <cellStyle name="Comma 5 2" xfId="2"/>
    <cellStyle name="Currency 2" xfId="3"/>
    <cellStyle name="Neutral 2" xfId="4"/>
    <cellStyle name="Normal" xfId="0" builtinId="0"/>
    <cellStyle name="Normal 2" xfId="5"/>
    <cellStyle name="Normal 2 2" xfId="6"/>
    <cellStyle name="Normal 3" xfId="7"/>
    <cellStyle name="Normal 7" xfId="8"/>
    <cellStyle name="Normal 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17"/>
  <sheetViews>
    <sheetView tabSelected="1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12" sqref="F12"/>
    </sheetView>
  </sheetViews>
  <sheetFormatPr defaultRowHeight="12.75" x14ac:dyDescent="0.2"/>
  <cols>
    <col min="1" max="1" width="9.140625" style="17" customWidth="1"/>
    <col min="2" max="2" width="20.85546875" style="24" bestFit="1" customWidth="1"/>
    <col min="3" max="3" width="18.28515625" style="17" bestFit="1" customWidth="1"/>
    <col min="4" max="4" width="77.42578125" style="26" customWidth="1"/>
    <col min="5" max="5" width="48.7109375" style="24" customWidth="1"/>
    <col min="6" max="6" width="20.28515625" style="7" customWidth="1"/>
    <col min="7" max="7" width="20.140625" style="24" customWidth="1"/>
    <col min="8" max="8" width="20.85546875" style="12" customWidth="1"/>
    <col min="9" max="9" width="28.5703125" style="24" customWidth="1"/>
    <col min="10" max="10" width="17.85546875" style="2" customWidth="1"/>
    <col min="11" max="11" width="24" style="17" customWidth="1"/>
    <col min="12" max="12" width="31.42578125" style="2" customWidth="1"/>
    <col min="13" max="13" width="32.28515625" style="2" customWidth="1"/>
    <col min="14" max="14" width="25.28515625" style="3" customWidth="1"/>
    <col min="15" max="15" width="21.140625" style="2" customWidth="1"/>
    <col min="16" max="16" width="29" style="2" customWidth="1"/>
    <col min="17" max="17" width="59.85546875" style="2" customWidth="1"/>
    <col min="18" max="18" width="44.7109375" style="2" customWidth="1"/>
    <col min="19" max="19" width="34.5703125" style="2" customWidth="1"/>
    <col min="20" max="20" width="40.140625" style="2" customWidth="1"/>
    <col min="21" max="21" width="0.140625" style="2" customWidth="1"/>
    <col min="22" max="22" width="22.42578125" style="3" customWidth="1"/>
    <col min="23" max="23" width="33.42578125" style="2" customWidth="1"/>
    <col min="24" max="24" width="21.7109375" style="3" customWidth="1"/>
    <col min="25" max="25" width="21.7109375" style="2" customWidth="1"/>
    <col min="26" max="26" width="26.5703125" style="3" customWidth="1"/>
    <col min="27" max="27" width="26.42578125" style="2" customWidth="1"/>
    <col min="28" max="28" width="21.7109375" style="4" customWidth="1"/>
    <col min="29" max="29" width="34.85546875" style="2" customWidth="1"/>
    <col min="30" max="30" width="24.5703125" style="2" customWidth="1"/>
    <col min="31" max="32" width="33.42578125" style="2" customWidth="1"/>
    <col min="33" max="33" width="49.85546875" style="2" customWidth="1"/>
    <col min="34" max="34" width="27.42578125" style="2" customWidth="1"/>
    <col min="35" max="35" width="39.85546875" style="2" customWidth="1"/>
    <col min="36" max="36" width="36.5703125" style="2" customWidth="1"/>
    <col min="37" max="37" width="27" style="3" customWidth="1"/>
    <col min="38" max="38" width="21.7109375" style="2" customWidth="1"/>
    <col min="39" max="39" width="26.140625" style="2" customWidth="1"/>
    <col min="40" max="40" width="46.42578125" style="2" customWidth="1"/>
    <col min="41" max="41" width="30" style="2" customWidth="1"/>
    <col min="42" max="42" width="37.85546875" style="2" customWidth="1"/>
    <col min="43" max="43" width="16.42578125" style="2" customWidth="1"/>
    <col min="44" max="44" width="18.85546875" style="2" customWidth="1"/>
    <col min="45" max="45" width="14.42578125" style="3" customWidth="1"/>
    <col min="46" max="46" width="46.42578125" style="2" customWidth="1"/>
    <col min="47" max="47" width="24.140625" style="3" customWidth="1"/>
    <col min="48" max="48" width="21.7109375" style="2" customWidth="1"/>
    <col min="49" max="49" width="47.5703125" style="2" customWidth="1"/>
    <col min="50" max="50" width="37.28515625" style="2" customWidth="1"/>
    <col min="51" max="51" width="44.140625" style="2" customWidth="1"/>
    <col min="52" max="52" width="32.7109375" style="4" customWidth="1"/>
    <col min="53" max="53" width="38" style="2" customWidth="1"/>
    <col min="54" max="57" width="40" style="2" customWidth="1"/>
    <col min="58" max="58" width="21.85546875" style="2" customWidth="1"/>
    <col min="59" max="59" width="43.28515625" style="2" customWidth="1"/>
    <col min="60" max="60" width="32.85546875" style="2" customWidth="1"/>
    <col min="61" max="61" width="27.85546875" style="2" customWidth="1"/>
    <col min="62" max="62" width="33.42578125" style="2" customWidth="1"/>
    <col min="63" max="63" width="54.5703125" style="2" customWidth="1"/>
    <col min="64" max="64" width="33.42578125" style="2" customWidth="1"/>
    <col min="65" max="65" width="29" style="3" customWidth="1"/>
    <col min="66" max="66" width="47.5703125" style="2" customWidth="1"/>
    <col min="67" max="67" width="36.28515625" style="2" customWidth="1"/>
    <col min="68" max="68" width="37" style="2" customWidth="1"/>
    <col min="69" max="69" width="15.42578125" style="23" customWidth="1"/>
    <col min="70" max="16384" width="9.140625" style="23"/>
  </cols>
  <sheetData>
    <row r="1" spans="1:69" x14ac:dyDescent="0.2">
      <c r="A1" s="26" t="s">
        <v>418</v>
      </c>
    </row>
    <row r="2" spans="1:69" s="15" customFormat="1" ht="25.5" x14ac:dyDescent="0.2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6" t="s">
        <v>5</v>
      </c>
      <c r="G2" s="15" t="s">
        <v>6</v>
      </c>
      <c r="H2" s="5" t="s">
        <v>7</v>
      </c>
      <c r="I2" s="15" t="s">
        <v>8</v>
      </c>
      <c r="J2" s="5" t="s">
        <v>9</v>
      </c>
      <c r="K2" s="16" t="s">
        <v>10</v>
      </c>
      <c r="L2" s="31" t="s">
        <v>11</v>
      </c>
      <c r="M2" s="31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/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  <c r="AI2" s="5" t="s">
        <v>33</v>
      </c>
      <c r="AJ2" s="5" t="s">
        <v>34</v>
      </c>
      <c r="AK2" s="5" t="s">
        <v>35</v>
      </c>
      <c r="AL2" s="5" t="s">
        <v>36</v>
      </c>
      <c r="AM2" s="5" t="s">
        <v>37</v>
      </c>
      <c r="AN2" s="5" t="s">
        <v>38</v>
      </c>
      <c r="AO2" s="5" t="s">
        <v>39</v>
      </c>
      <c r="AP2" s="5" t="s">
        <v>40</v>
      </c>
      <c r="AQ2" s="5" t="s">
        <v>41</v>
      </c>
      <c r="AR2" s="5" t="s">
        <v>42</v>
      </c>
      <c r="AS2" s="5" t="s">
        <v>43</v>
      </c>
      <c r="AT2" s="5" t="s">
        <v>44</v>
      </c>
      <c r="AU2" s="5" t="s">
        <v>45</v>
      </c>
      <c r="AV2" s="5" t="s">
        <v>46</v>
      </c>
      <c r="AW2" s="5" t="s">
        <v>47</v>
      </c>
      <c r="AX2" s="5" t="s">
        <v>48</v>
      </c>
      <c r="AY2" s="5" t="s">
        <v>49</v>
      </c>
      <c r="AZ2" s="5" t="s">
        <v>50</v>
      </c>
      <c r="BA2" s="6" t="s">
        <v>51</v>
      </c>
      <c r="BB2" s="6" t="s">
        <v>52</v>
      </c>
      <c r="BC2" s="6" t="s">
        <v>414</v>
      </c>
      <c r="BD2" s="6" t="s">
        <v>415</v>
      </c>
      <c r="BE2" s="6" t="s">
        <v>416</v>
      </c>
      <c r="BF2" s="5" t="s">
        <v>417</v>
      </c>
      <c r="BG2" s="5" t="s">
        <v>53</v>
      </c>
      <c r="BH2" s="5" t="s">
        <v>54</v>
      </c>
      <c r="BI2" s="5" t="s">
        <v>55</v>
      </c>
      <c r="BJ2" s="5" t="s">
        <v>56</v>
      </c>
      <c r="BK2" s="5" t="s">
        <v>57</v>
      </c>
      <c r="BL2" s="5" t="s">
        <v>58</v>
      </c>
      <c r="BM2" s="5" t="s">
        <v>59</v>
      </c>
      <c r="BN2" s="5" t="s">
        <v>60</v>
      </c>
      <c r="BO2" s="5" t="s">
        <v>61</v>
      </c>
      <c r="BP2" s="5" t="s">
        <v>62</v>
      </c>
    </row>
    <row r="3" spans="1:69" ht="20.100000000000001" customHeight="1" x14ac:dyDescent="0.2">
      <c r="A3" s="17">
        <v>1</v>
      </c>
      <c r="B3" s="18" t="s">
        <v>63</v>
      </c>
      <c r="C3" s="18" t="s">
        <v>64</v>
      </c>
      <c r="D3" s="19" t="s">
        <v>65</v>
      </c>
      <c r="E3" s="18" t="s">
        <v>66</v>
      </c>
      <c r="F3" s="8">
        <v>72355.960000000006</v>
      </c>
      <c r="G3" s="18" t="s">
        <v>64</v>
      </c>
      <c r="H3" s="12">
        <v>0</v>
      </c>
      <c r="I3" s="20">
        <v>16.71</v>
      </c>
      <c r="J3" s="2">
        <v>38250</v>
      </c>
      <c r="K3" s="21" t="s">
        <v>67</v>
      </c>
      <c r="L3" s="1">
        <v>32628.972080000003</v>
      </c>
      <c r="M3" s="2">
        <v>19977.677262000005</v>
      </c>
      <c r="N3" s="1">
        <f t="shared" ref="N3:N23" si="0">1705.7*I3</f>
        <v>28502.247000000003</v>
      </c>
      <c r="O3" s="2">
        <f t="shared" ref="O3:O23" si="1">L3</f>
        <v>32628.972080000003</v>
      </c>
      <c r="P3" s="2">
        <f>1859*I3</f>
        <v>31063.890000000003</v>
      </c>
      <c r="Q3" s="1">
        <v>0</v>
      </c>
      <c r="R3" s="1">
        <v>0</v>
      </c>
      <c r="S3" s="2">
        <f>L3</f>
        <v>32628.972080000003</v>
      </c>
      <c r="T3" s="1">
        <f>1742*I3</f>
        <v>29108.82</v>
      </c>
      <c r="U3" s="1"/>
      <c r="V3" s="1">
        <f>1706*I3</f>
        <v>28507.260000000002</v>
      </c>
      <c r="W3" s="2">
        <f t="shared" ref="W3:W23" si="2">L3</f>
        <v>32628.972080000003</v>
      </c>
      <c r="X3" s="2" t="s">
        <v>63</v>
      </c>
      <c r="Y3" s="2">
        <f t="shared" ref="Y3:Y23" si="3">L3</f>
        <v>32628.972080000003</v>
      </c>
      <c r="Z3" s="1">
        <f>1521*I3</f>
        <v>25415.91</v>
      </c>
      <c r="AA3" s="2">
        <f>1702*I3</f>
        <v>28440.420000000002</v>
      </c>
      <c r="AB3" s="1">
        <f t="shared" ref="AB3:AB23" si="4">L3*0.9</f>
        <v>29366.074872000005</v>
      </c>
      <c r="AC3" s="2">
        <f t="shared" ref="AC3:AC23" si="5">L3</f>
        <v>32628.972080000003</v>
      </c>
      <c r="AD3" s="1">
        <f t="shared" ref="AD3:AD23" si="6">L3*1.05</f>
        <v>34260.420684000004</v>
      </c>
      <c r="AE3" s="2">
        <f t="shared" ref="AE3:AE23" si="7">L3</f>
        <v>32628.972080000003</v>
      </c>
      <c r="AF3" s="2">
        <f t="shared" ref="AF3:AF23" si="8">L3</f>
        <v>32628.972080000003</v>
      </c>
      <c r="AG3" s="2">
        <f t="shared" ref="AG3:AG23" si="9">L3*0.92</f>
        <v>30018.654313600004</v>
      </c>
      <c r="AH3" s="1">
        <f t="shared" ref="AH3:AH23" si="10">F3*0.7</f>
        <v>50649.171999999999</v>
      </c>
      <c r="AI3" s="2">
        <f>1800*16+1600</f>
        <v>30400</v>
      </c>
      <c r="AJ3" s="2">
        <f>L3</f>
        <v>32628.972080000003</v>
      </c>
      <c r="AK3" s="1">
        <f t="shared" ref="AK3:AK23" si="11">1645*I3</f>
        <v>27487.95</v>
      </c>
      <c r="AL3" s="2">
        <f t="shared" ref="AL3:AL23" si="12">L3</f>
        <v>32628.972080000003</v>
      </c>
      <c r="AM3" s="2">
        <f t="shared" ref="AM3:AM23" si="13">1700*I3</f>
        <v>28407</v>
      </c>
      <c r="AN3" s="2" t="s">
        <v>63</v>
      </c>
      <c r="AO3" s="2" t="s">
        <v>63</v>
      </c>
      <c r="AP3" s="2" t="s">
        <v>63</v>
      </c>
      <c r="AQ3" s="2">
        <f>1529*I3</f>
        <v>25549.59</v>
      </c>
      <c r="AR3" s="1" t="s">
        <v>63</v>
      </c>
      <c r="AS3" s="2">
        <f t="shared" ref="AS3:AS23" si="14">M3</f>
        <v>19977.677262000005</v>
      </c>
      <c r="AT3" s="2">
        <f t="shared" ref="AT3:AT23" si="15">L3</f>
        <v>32628.972080000003</v>
      </c>
      <c r="AU3" s="1">
        <v>31896.169983000003</v>
      </c>
      <c r="AV3" s="2">
        <f>M3*1.1</f>
        <v>21975.444988200008</v>
      </c>
      <c r="AW3" s="2">
        <f t="shared" ref="AW3:AW23" si="16">L3</f>
        <v>32628.972080000003</v>
      </c>
      <c r="AX3" s="1">
        <f>2075*I3</f>
        <v>34673.25</v>
      </c>
      <c r="AY3" s="2">
        <f>1610*I3</f>
        <v>26903.100000000002</v>
      </c>
      <c r="AZ3" s="1">
        <v>0</v>
      </c>
      <c r="BA3" s="1">
        <v>0</v>
      </c>
      <c r="BB3" s="1">
        <v>0</v>
      </c>
      <c r="BC3" s="2">
        <f>2200*I3</f>
        <v>36762</v>
      </c>
      <c r="BD3" s="2">
        <f>2500*I3</f>
        <v>41775</v>
      </c>
      <c r="BE3" s="2">
        <f>1900*I3</f>
        <v>31749</v>
      </c>
      <c r="BF3" s="2">
        <f t="shared" ref="BF3:BF23" si="17">1375*I3</f>
        <v>22976.25</v>
      </c>
      <c r="BG3" s="2">
        <f t="shared" ref="BG3:BG23" si="18">L3</f>
        <v>32628.972080000003</v>
      </c>
      <c r="BH3" s="2">
        <f t="shared" ref="BH3:BH23" si="19">L3*0.95</f>
        <v>30997.523476000002</v>
      </c>
      <c r="BI3" s="1">
        <v>0</v>
      </c>
      <c r="BJ3" s="1">
        <v>0</v>
      </c>
      <c r="BK3" s="2">
        <f t="shared" ref="BK3:BK23" si="20">L3*0.95</f>
        <v>30997.523476000002</v>
      </c>
      <c r="BL3" s="2">
        <f t="shared" ref="BL3:BL23" si="21">L3</f>
        <v>32628.972080000003</v>
      </c>
      <c r="BM3" s="1">
        <f t="shared" ref="BM3:BM23" si="22">2210*I3</f>
        <v>36929.1</v>
      </c>
      <c r="BN3" s="2">
        <f t="shared" ref="BN3:BN23" si="23">L3</f>
        <v>32628.972080000003</v>
      </c>
      <c r="BO3" s="2">
        <f>MIN(N3:BN3:BN3)</f>
        <v>0</v>
      </c>
      <c r="BP3" s="2">
        <f t="shared" ref="BP3:BP34" si="24">MAX(N3:BN3)</f>
        <v>50649.171999999999</v>
      </c>
      <c r="BQ3" s="22"/>
    </row>
    <row r="4" spans="1:69" ht="20.100000000000001" customHeight="1" x14ac:dyDescent="0.2">
      <c r="A4" s="17">
        <f t="shared" ref="A4:A10" si="25">A3+1</f>
        <v>2</v>
      </c>
      <c r="B4" s="18" t="s">
        <v>63</v>
      </c>
      <c r="C4" s="18" t="s">
        <v>64</v>
      </c>
      <c r="D4" s="19" t="s">
        <v>68</v>
      </c>
      <c r="E4" s="18" t="s">
        <v>66</v>
      </c>
      <c r="F4" s="8">
        <v>44687.17</v>
      </c>
      <c r="G4" s="18" t="s">
        <v>64</v>
      </c>
      <c r="H4" s="12">
        <v>0</v>
      </c>
      <c r="I4" s="20">
        <v>13.83</v>
      </c>
      <c r="J4" s="2">
        <v>31500</v>
      </c>
      <c r="K4" s="21" t="s">
        <v>67</v>
      </c>
      <c r="L4" s="1">
        <v>27884.749919999998</v>
      </c>
      <c r="M4" s="2">
        <v>16534.486926000001</v>
      </c>
      <c r="N4" s="1">
        <f t="shared" si="0"/>
        <v>23589.831000000002</v>
      </c>
      <c r="O4" s="2">
        <f t="shared" si="1"/>
        <v>27884.749919999998</v>
      </c>
      <c r="P4" s="2">
        <f>1859*I4</f>
        <v>25709.97</v>
      </c>
      <c r="Q4" s="1">
        <v>0</v>
      </c>
      <c r="R4" s="1">
        <v>0</v>
      </c>
      <c r="S4" s="2">
        <f t="shared" ref="S4:S23" si="26">L4</f>
        <v>27884.749919999998</v>
      </c>
      <c r="T4" s="1">
        <f>1742*I4</f>
        <v>24091.86</v>
      </c>
      <c r="U4" s="1"/>
      <c r="V4" s="1">
        <f>1706*I4</f>
        <v>23593.98</v>
      </c>
      <c r="W4" s="2">
        <f t="shared" si="2"/>
        <v>27884.749919999998</v>
      </c>
      <c r="X4" s="2" t="s">
        <v>63</v>
      </c>
      <c r="Y4" s="2">
        <f t="shared" si="3"/>
        <v>27884.749919999998</v>
      </c>
      <c r="Z4" s="1">
        <f>1521*I4</f>
        <v>21035.43</v>
      </c>
      <c r="AA4" s="2">
        <f>1702*I4</f>
        <v>23538.66</v>
      </c>
      <c r="AB4" s="1">
        <f t="shared" si="4"/>
        <v>25096.274927999999</v>
      </c>
      <c r="AC4" s="2">
        <f t="shared" si="5"/>
        <v>27884.749919999998</v>
      </c>
      <c r="AD4" s="1">
        <f t="shared" si="6"/>
        <v>29278.987416</v>
      </c>
      <c r="AE4" s="2">
        <f t="shared" si="7"/>
        <v>27884.749919999998</v>
      </c>
      <c r="AF4" s="2">
        <f t="shared" si="8"/>
        <v>27884.749919999998</v>
      </c>
      <c r="AG4" s="2">
        <f t="shared" si="9"/>
        <v>25653.969926400001</v>
      </c>
      <c r="AH4" s="1">
        <f t="shared" si="10"/>
        <v>31281.018999999997</v>
      </c>
      <c r="AI4" s="2">
        <f>1800*I4</f>
        <v>24894</v>
      </c>
      <c r="AJ4" s="2">
        <f t="shared" ref="AJ4:AJ67" si="27">L4</f>
        <v>27884.749919999998</v>
      </c>
      <c r="AK4" s="1">
        <f t="shared" si="11"/>
        <v>22750.35</v>
      </c>
      <c r="AL4" s="2">
        <f t="shared" si="12"/>
        <v>27884.749919999998</v>
      </c>
      <c r="AM4" s="2">
        <f t="shared" si="13"/>
        <v>23511</v>
      </c>
      <c r="AN4" s="2" t="s">
        <v>63</v>
      </c>
      <c r="AO4" s="2" t="s">
        <v>63</v>
      </c>
      <c r="AP4" s="2" t="s">
        <v>63</v>
      </c>
      <c r="AQ4" s="2">
        <f>1529*I4</f>
        <v>21146.07</v>
      </c>
      <c r="AR4" s="1" t="s">
        <v>63</v>
      </c>
      <c r="AS4" s="2">
        <f t="shared" si="14"/>
        <v>16534.486926000001</v>
      </c>
      <c r="AT4" s="2">
        <f t="shared" si="15"/>
        <v>27884.749919999998</v>
      </c>
      <c r="AU4" s="1">
        <v>26398.804959000005</v>
      </c>
      <c r="AV4" s="2">
        <f t="shared" ref="AV4:AV23" si="28">M4*1.1</f>
        <v>18187.935618600004</v>
      </c>
      <c r="AW4" s="2">
        <f t="shared" si="16"/>
        <v>27884.749919999998</v>
      </c>
      <c r="AX4" s="1">
        <f>2075*I4</f>
        <v>28697.25</v>
      </c>
      <c r="AY4" s="2">
        <f>1610*I4</f>
        <v>22266.3</v>
      </c>
      <c r="AZ4" s="1">
        <v>0</v>
      </c>
      <c r="BA4" s="1">
        <v>0</v>
      </c>
      <c r="BB4" s="1">
        <v>0</v>
      </c>
      <c r="BC4" s="2">
        <f t="shared" ref="BC4:BC23" si="29">2200*I4</f>
        <v>30426</v>
      </c>
      <c r="BD4" s="2">
        <f t="shared" ref="BD4:BD23" si="30">2500*I4</f>
        <v>34575</v>
      </c>
      <c r="BE4" s="2">
        <f t="shared" ref="BE4:BE23" si="31">1900*I4</f>
        <v>26277</v>
      </c>
      <c r="BF4" s="2">
        <f t="shared" si="17"/>
        <v>19016.25</v>
      </c>
      <c r="BG4" s="2">
        <f t="shared" si="18"/>
        <v>27884.749919999998</v>
      </c>
      <c r="BH4" s="2">
        <f t="shared" si="19"/>
        <v>26490.512423999997</v>
      </c>
      <c r="BI4" s="1">
        <v>0</v>
      </c>
      <c r="BJ4" s="1">
        <v>0</v>
      </c>
      <c r="BK4" s="2">
        <f t="shared" si="20"/>
        <v>26490.512423999997</v>
      </c>
      <c r="BL4" s="2">
        <f t="shared" si="21"/>
        <v>27884.749919999998</v>
      </c>
      <c r="BM4" s="1">
        <f t="shared" si="22"/>
        <v>30564.3</v>
      </c>
      <c r="BN4" s="2">
        <f t="shared" si="23"/>
        <v>27884.749919999998</v>
      </c>
      <c r="BO4" s="2">
        <f>MIN(N4:BN4:BN4)</f>
        <v>0</v>
      </c>
      <c r="BP4" s="2">
        <f t="shared" si="24"/>
        <v>34575</v>
      </c>
      <c r="BQ4" s="22"/>
    </row>
    <row r="5" spans="1:69" ht="20.100000000000001" customHeight="1" x14ac:dyDescent="0.2">
      <c r="A5" s="17">
        <f t="shared" si="25"/>
        <v>3</v>
      </c>
      <c r="B5" s="18" t="s">
        <v>63</v>
      </c>
      <c r="C5" s="18" t="s">
        <v>64</v>
      </c>
      <c r="D5" s="19" t="s">
        <v>69</v>
      </c>
      <c r="E5" s="18" t="s">
        <v>66</v>
      </c>
      <c r="F5" s="8">
        <v>54129.73</v>
      </c>
      <c r="G5" s="18" t="s">
        <v>64</v>
      </c>
      <c r="H5" s="12">
        <v>0</v>
      </c>
      <c r="I5" s="20">
        <v>15.19</v>
      </c>
      <c r="J5" s="2">
        <v>33750</v>
      </c>
      <c r="K5" s="21" t="s">
        <v>67</v>
      </c>
      <c r="L5" s="1">
        <v>24713.316080000001</v>
      </c>
      <c r="M5" s="2">
        <v>18160.437918000003</v>
      </c>
      <c r="N5" s="1">
        <f t="shared" si="0"/>
        <v>25909.582999999999</v>
      </c>
      <c r="O5" s="2">
        <f t="shared" si="1"/>
        <v>24713.316080000001</v>
      </c>
      <c r="P5" s="2">
        <f t="shared" ref="P5:P23" si="32">1859*I5</f>
        <v>28238.21</v>
      </c>
      <c r="Q5" s="1">
        <v>0</v>
      </c>
      <c r="R5" s="1">
        <v>0</v>
      </c>
      <c r="S5" s="2">
        <f t="shared" si="26"/>
        <v>24713.316080000001</v>
      </c>
      <c r="T5" s="1">
        <f>1742*I5</f>
        <v>26460.98</v>
      </c>
      <c r="U5" s="1"/>
      <c r="V5" s="1">
        <f>1706*I5</f>
        <v>25914.14</v>
      </c>
      <c r="W5" s="2">
        <f t="shared" si="2"/>
        <v>24713.316080000001</v>
      </c>
      <c r="X5" s="2" t="s">
        <v>63</v>
      </c>
      <c r="Y5" s="2">
        <f t="shared" si="3"/>
        <v>24713.316080000001</v>
      </c>
      <c r="Z5" s="1">
        <f>1521*I5</f>
        <v>23103.989999999998</v>
      </c>
      <c r="AA5" s="2">
        <f>1702*I5</f>
        <v>25853.379999999997</v>
      </c>
      <c r="AB5" s="1">
        <f t="shared" si="4"/>
        <v>22241.984472</v>
      </c>
      <c r="AC5" s="2">
        <f t="shared" si="5"/>
        <v>24713.316080000001</v>
      </c>
      <c r="AD5" s="1">
        <f t="shared" si="6"/>
        <v>25948.981884000001</v>
      </c>
      <c r="AE5" s="2">
        <f t="shared" si="7"/>
        <v>24713.316080000001</v>
      </c>
      <c r="AF5" s="2">
        <f t="shared" si="8"/>
        <v>24713.316080000001</v>
      </c>
      <c r="AG5" s="2">
        <f t="shared" si="9"/>
        <v>22736.2507936</v>
      </c>
      <c r="AH5" s="1">
        <f t="shared" si="10"/>
        <v>37890.811000000002</v>
      </c>
      <c r="AI5" s="2">
        <f>1800*I5</f>
        <v>27342</v>
      </c>
      <c r="AJ5" s="2">
        <f t="shared" si="27"/>
        <v>24713.316080000001</v>
      </c>
      <c r="AK5" s="1">
        <f t="shared" si="11"/>
        <v>24987.55</v>
      </c>
      <c r="AL5" s="2">
        <f t="shared" si="12"/>
        <v>24713.316080000001</v>
      </c>
      <c r="AM5" s="2">
        <f t="shared" si="13"/>
        <v>25823</v>
      </c>
      <c r="AN5" s="2" t="s">
        <v>63</v>
      </c>
      <c r="AO5" s="2" t="s">
        <v>63</v>
      </c>
      <c r="AP5" s="2" t="s">
        <v>63</v>
      </c>
      <c r="AQ5" s="2">
        <f>1529*I5</f>
        <v>23225.51</v>
      </c>
      <c r="AR5" s="1" t="s">
        <v>63</v>
      </c>
      <c r="AS5" s="2">
        <f t="shared" si="14"/>
        <v>18160.437918000003</v>
      </c>
      <c r="AT5" s="2">
        <f t="shared" si="15"/>
        <v>24713.316080000001</v>
      </c>
      <c r="AU5" s="1">
        <v>28994.782887000005</v>
      </c>
      <c r="AV5" s="2">
        <f t="shared" si="28"/>
        <v>19976.481709800006</v>
      </c>
      <c r="AW5" s="2">
        <f t="shared" si="16"/>
        <v>24713.316080000001</v>
      </c>
      <c r="AX5" s="1">
        <f>2075*I5</f>
        <v>31519.25</v>
      </c>
      <c r="AY5" s="2">
        <f>1610*I5</f>
        <v>24455.899999999998</v>
      </c>
      <c r="AZ5" s="1">
        <v>0</v>
      </c>
      <c r="BA5" s="1">
        <v>0</v>
      </c>
      <c r="BB5" s="1">
        <v>0</v>
      </c>
      <c r="BC5" s="2">
        <f t="shared" si="29"/>
        <v>33418</v>
      </c>
      <c r="BD5" s="2">
        <f t="shared" si="30"/>
        <v>37975</v>
      </c>
      <c r="BE5" s="2">
        <f t="shared" si="31"/>
        <v>28861</v>
      </c>
      <c r="BF5" s="2">
        <f t="shared" si="17"/>
        <v>20886.25</v>
      </c>
      <c r="BG5" s="2">
        <f t="shared" si="18"/>
        <v>24713.316080000001</v>
      </c>
      <c r="BH5" s="2">
        <f t="shared" si="19"/>
        <v>23477.650276</v>
      </c>
      <c r="BI5" s="1">
        <v>0</v>
      </c>
      <c r="BJ5" s="1">
        <v>0</v>
      </c>
      <c r="BK5" s="2">
        <f t="shared" si="20"/>
        <v>23477.650276</v>
      </c>
      <c r="BL5" s="2">
        <f t="shared" si="21"/>
        <v>24713.316080000001</v>
      </c>
      <c r="BM5" s="1">
        <f t="shared" si="22"/>
        <v>33569.9</v>
      </c>
      <c r="BN5" s="2">
        <f t="shared" si="23"/>
        <v>24713.316080000001</v>
      </c>
      <c r="BO5" s="2">
        <f>MIN(N5:BN5:BN5)</f>
        <v>0</v>
      </c>
      <c r="BP5" s="2">
        <f t="shared" si="24"/>
        <v>37975</v>
      </c>
      <c r="BQ5" s="22"/>
    </row>
    <row r="6" spans="1:69" ht="20.100000000000001" customHeight="1" x14ac:dyDescent="0.2">
      <c r="A6" s="17">
        <f t="shared" si="25"/>
        <v>4</v>
      </c>
      <c r="B6" s="18" t="s">
        <v>63</v>
      </c>
      <c r="C6" s="18" t="s">
        <v>64</v>
      </c>
      <c r="D6" s="19" t="s">
        <v>70</v>
      </c>
      <c r="E6" s="18" t="s">
        <v>66</v>
      </c>
      <c r="F6" s="8">
        <v>49661.82</v>
      </c>
      <c r="G6" s="18" t="s">
        <v>64</v>
      </c>
      <c r="H6" s="12">
        <v>0</v>
      </c>
      <c r="I6" s="20">
        <v>15.45</v>
      </c>
      <c r="J6" s="2">
        <v>33750</v>
      </c>
      <c r="K6" s="21" t="s">
        <v>67</v>
      </c>
      <c r="L6" s="1">
        <v>24395.755120000002</v>
      </c>
      <c r="M6" s="2">
        <v>18471.281490000001</v>
      </c>
      <c r="N6" s="1">
        <f t="shared" si="0"/>
        <v>26353.064999999999</v>
      </c>
      <c r="O6" s="2">
        <f t="shared" si="1"/>
        <v>24395.755120000002</v>
      </c>
      <c r="P6" s="2">
        <f t="shared" si="32"/>
        <v>28721.55</v>
      </c>
      <c r="Q6" s="1">
        <v>0</v>
      </c>
      <c r="R6" s="1">
        <v>0</v>
      </c>
      <c r="S6" s="2">
        <f t="shared" si="26"/>
        <v>24395.755120000002</v>
      </c>
      <c r="T6" s="1">
        <f>1742*I6</f>
        <v>26913.899999999998</v>
      </c>
      <c r="U6" s="1"/>
      <c r="V6" s="1">
        <f>1706*I6</f>
        <v>26357.699999999997</v>
      </c>
      <c r="W6" s="2">
        <f t="shared" si="2"/>
        <v>24395.755120000002</v>
      </c>
      <c r="X6" s="2" t="s">
        <v>63</v>
      </c>
      <c r="Y6" s="2">
        <f t="shared" si="3"/>
        <v>24395.755120000002</v>
      </c>
      <c r="Z6" s="1">
        <f>1521*I6</f>
        <v>23499.45</v>
      </c>
      <c r="AA6" s="2">
        <f>1702*I6</f>
        <v>26295.899999999998</v>
      </c>
      <c r="AB6" s="1">
        <f t="shared" si="4"/>
        <v>21956.179608000002</v>
      </c>
      <c r="AC6" s="2">
        <f t="shared" si="5"/>
        <v>24395.755120000002</v>
      </c>
      <c r="AD6" s="1">
        <f t="shared" si="6"/>
        <v>25615.542876000003</v>
      </c>
      <c r="AE6" s="2">
        <f t="shared" si="7"/>
        <v>24395.755120000002</v>
      </c>
      <c r="AF6" s="2">
        <f t="shared" si="8"/>
        <v>24395.755120000002</v>
      </c>
      <c r="AG6" s="2">
        <f t="shared" si="9"/>
        <v>22444.094710400004</v>
      </c>
      <c r="AH6" s="1">
        <f t="shared" si="10"/>
        <v>34763.273999999998</v>
      </c>
      <c r="AI6" s="2">
        <f>1800*I6</f>
        <v>27810</v>
      </c>
      <c r="AJ6" s="2">
        <f t="shared" si="27"/>
        <v>24395.755120000002</v>
      </c>
      <c r="AK6" s="1">
        <f t="shared" si="11"/>
        <v>25415.25</v>
      </c>
      <c r="AL6" s="2">
        <f t="shared" si="12"/>
        <v>24395.755120000002</v>
      </c>
      <c r="AM6" s="2">
        <f t="shared" si="13"/>
        <v>26265</v>
      </c>
      <c r="AN6" s="2" t="s">
        <v>63</v>
      </c>
      <c r="AO6" s="2" t="s">
        <v>63</v>
      </c>
      <c r="AP6" s="2" t="s">
        <v>63</v>
      </c>
      <c r="AQ6" s="2">
        <f>1529*I6</f>
        <v>23623.05</v>
      </c>
      <c r="AR6" s="1" t="s">
        <v>63</v>
      </c>
      <c r="AS6" s="2">
        <f t="shared" si="14"/>
        <v>18471.281490000001</v>
      </c>
      <c r="AT6" s="2">
        <f t="shared" si="15"/>
        <v>24395.755120000002</v>
      </c>
      <c r="AU6" s="1">
        <v>29491.072785000004</v>
      </c>
      <c r="AV6" s="2">
        <f t="shared" si="28"/>
        <v>20318.409639000001</v>
      </c>
      <c r="AW6" s="2">
        <f t="shared" si="16"/>
        <v>24395.755120000002</v>
      </c>
      <c r="AX6" s="1">
        <f>2075*I6</f>
        <v>32058.75</v>
      </c>
      <c r="AY6" s="2">
        <f>1610*I6</f>
        <v>24874.5</v>
      </c>
      <c r="AZ6" s="1">
        <v>0</v>
      </c>
      <c r="BA6" s="1">
        <v>0</v>
      </c>
      <c r="BB6" s="1">
        <v>0</v>
      </c>
      <c r="BC6" s="2">
        <f t="shared" si="29"/>
        <v>33990</v>
      </c>
      <c r="BD6" s="2">
        <f t="shared" si="30"/>
        <v>38625</v>
      </c>
      <c r="BE6" s="2">
        <f t="shared" si="31"/>
        <v>29355</v>
      </c>
      <c r="BF6" s="2">
        <f t="shared" si="17"/>
        <v>21243.75</v>
      </c>
      <c r="BG6" s="2">
        <f t="shared" si="18"/>
        <v>24395.755120000002</v>
      </c>
      <c r="BH6" s="2">
        <f t="shared" si="19"/>
        <v>23175.967364</v>
      </c>
      <c r="BI6" s="1">
        <v>0</v>
      </c>
      <c r="BJ6" s="1">
        <v>0</v>
      </c>
      <c r="BK6" s="2">
        <f t="shared" si="20"/>
        <v>23175.967364</v>
      </c>
      <c r="BL6" s="2">
        <f t="shared" si="21"/>
        <v>24395.755120000002</v>
      </c>
      <c r="BM6" s="1">
        <f t="shared" si="22"/>
        <v>34144.5</v>
      </c>
      <c r="BN6" s="2">
        <f t="shared" si="23"/>
        <v>24395.755120000002</v>
      </c>
      <c r="BO6" s="2">
        <f>MIN(N6:BN6:BN6)</f>
        <v>0</v>
      </c>
      <c r="BP6" s="2">
        <f t="shared" si="24"/>
        <v>38625</v>
      </c>
      <c r="BQ6" s="22"/>
    </row>
    <row r="7" spans="1:69" ht="20.100000000000001" customHeight="1" x14ac:dyDescent="0.2">
      <c r="A7" s="17">
        <f t="shared" si="25"/>
        <v>5</v>
      </c>
      <c r="B7" s="18" t="s">
        <v>63</v>
      </c>
      <c r="C7" s="18" t="s">
        <v>64</v>
      </c>
      <c r="D7" s="19" t="s">
        <v>71</v>
      </c>
      <c r="E7" s="18" t="s">
        <v>66</v>
      </c>
      <c r="F7" s="8">
        <v>59271.09</v>
      </c>
      <c r="G7" s="18" t="s">
        <v>64</v>
      </c>
      <c r="H7" s="12">
        <v>0</v>
      </c>
      <c r="I7" s="20">
        <v>18</v>
      </c>
      <c r="J7" s="2">
        <v>40500</v>
      </c>
      <c r="K7" s="21" t="s">
        <v>67</v>
      </c>
      <c r="L7" s="1">
        <v>29102.304</v>
      </c>
      <c r="M7" s="2">
        <v>21519.939600000002</v>
      </c>
      <c r="N7" s="1">
        <f t="shared" si="0"/>
        <v>30702.600000000002</v>
      </c>
      <c r="O7" s="2">
        <f t="shared" si="1"/>
        <v>29102.304</v>
      </c>
      <c r="P7" s="2">
        <f t="shared" si="32"/>
        <v>33462</v>
      </c>
      <c r="Q7" s="1">
        <v>0</v>
      </c>
      <c r="R7" s="1">
        <v>0</v>
      </c>
      <c r="S7" s="2">
        <f t="shared" si="26"/>
        <v>29102.304</v>
      </c>
      <c r="T7" s="1">
        <f>1939*I7</f>
        <v>34902</v>
      </c>
      <c r="U7" s="1"/>
      <c r="V7" s="1">
        <v>33048</v>
      </c>
      <c r="W7" s="2">
        <f t="shared" si="2"/>
        <v>29102.304</v>
      </c>
      <c r="X7" s="2" t="s">
        <v>63</v>
      </c>
      <c r="Y7" s="2">
        <f t="shared" si="3"/>
        <v>29102.304</v>
      </c>
      <c r="Z7" s="1">
        <f>1554*I7</f>
        <v>27972</v>
      </c>
      <c r="AA7" s="2">
        <f>1851*I7</f>
        <v>33318</v>
      </c>
      <c r="AB7" s="1">
        <f t="shared" si="4"/>
        <v>26192.0736</v>
      </c>
      <c r="AC7" s="2">
        <f t="shared" si="5"/>
        <v>29102.304</v>
      </c>
      <c r="AD7" s="1">
        <f t="shared" si="6"/>
        <v>30557.4192</v>
      </c>
      <c r="AE7" s="2">
        <f t="shared" si="7"/>
        <v>29102.304</v>
      </c>
      <c r="AF7" s="2">
        <f t="shared" si="8"/>
        <v>29102.304</v>
      </c>
      <c r="AG7" s="2">
        <f t="shared" si="9"/>
        <v>26774.11968</v>
      </c>
      <c r="AH7" s="1">
        <f t="shared" si="10"/>
        <v>41489.762999999992</v>
      </c>
      <c r="AI7" s="2">
        <f>1800*16+1600*2</f>
        <v>32000</v>
      </c>
      <c r="AJ7" s="2">
        <f t="shared" si="27"/>
        <v>29102.304</v>
      </c>
      <c r="AK7" s="1">
        <f t="shared" si="11"/>
        <v>29610</v>
      </c>
      <c r="AL7" s="2">
        <f t="shared" si="12"/>
        <v>29102.304</v>
      </c>
      <c r="AM7" s="2">
        <f t="shared" si="13"/>
        <v>30600</v>
      </c>
      <c r="AN7" s="2" t="s">
        <v>63</v>
      </c>
      <c r="AO7" s="2" t="s">
        <v>63</v>
      </c>
      <c r="AP7" s="2" t="s">
        <v>63</v>
      </c>
      <c r="AQ7" s="2">
        <f>1665*I7</f>
        <v>29970</v>
      </c>
      <c r="AR7" s="1" t="s">
        <v>63</v>
      </c>
      <c r="AS7" s="2">
        <f t="shared" si="14"/>
        <v>21519.939600000002</v>
      </c>
      <c r="AT7" s="2">
        <f t="shared" si="15"/>
        <v>29102.304</v>
      </c>
      <c r="AU7" s="1">
        <v>34358.5314</v>
      </c>
      <c r="AV7" s="2">
        <f t="shared" si="28"/>
        <v>23671.933560000005</v>
      </c>
      <c r="AW7" s="2">
        <f t="shared" si="16"/>
        <v>29102.304</v>
      </c>
      <c r="AX7" s="1">
        <f>2300*I7</f>
        <v>41400</v>
      </c>
      <c r="AY7" s="2">
        <f>1730*I7</f>
        <v>31140</v>
      </c>
      <c r="AZ7" s="1">
        <v>0</v>
      </c>
      <c r="BA7" s="1">
        <v>0</v>
      </c>
      <c r="BB7" s="1">
        <v>0</v>
      </c>
      <c r="BC7" s="2">
        <f t="shared" si="29"/>
        <v>39600</v>
      </c>
      <c r="BD7" s="2">
        <f t="shared" si="30"/>
        <v>45000</v>
      </c>
      <c r="BE7" s="2">
        <f t="shared" si="31"/>
        <v>34200</v>
      </c>
      <c r="BF7" s="2">
        <f t="shared" si="17"/>
        <v>24750</v>
      </c>
      <c r="BG7" s="2">
        <f t="shared" si="18"/>
        <v>29102.304</v>
      </c>
      <c r="BH7" s="2">
        <f t="shared" si="19"/>
        <v>27647.1888</v>
      </c>
      <c r="BI7" s="1">
        <v>0</v>
      </c>
      <c r="BJ7" s="1">
        <v>0</v>
      </c>
      <c r="BK7" s="2">
        <f t="shared" si="20"/>
        <v>27647.1888</v>
      </c>
      <c r="BL7" s="2">
        <f t="shared" si="21"/>
        <v>29102.304</v>
      </c>
      <c r="BM7" s="1">
        <f t="shared" si="22"/>
        <v>39780</v>
      </c>
      <c r="BN7" s="2">
        <f t="shared" si="23"/>
        <v>29102.304</v>
      </c>
      <c r="BO7" s="2">
        <f>MIN(N7:BN7:BN7)</f>
        <v>0</v>
      </c>
      <c r="BP7" s="2">
        <f t="shared" si="24"/>
        <v>45000</v>
      </c>
      <c r="BQ7" s="22"/>
    </row>
    <row r="8" spans="1:69" ht="20.100000000000001" customHeight="1" x14ac:dyDescent="0.2">
      <c r="A8" s="17">
        <f t="shared" si="25"/>
        <v>6</v>
      </c>
      <c r="B8" s="18" t="s">
        <v>63</v>
      </c>
      <c r="C8" s="18" t="s">
        <v>64</v>
      </c>
      <c r="D8" s="19" t="s">
        <v>72</v>
      </c>
      <c r="E8" s="18" t="s">
        <v>66</v>
      </c>
      <c r="F8" s="8">
        <v>58878.1</v>
      </c>
      <c r="G8" s="18" t="s">
        <v>64</v>
      </c>
      <c r="H8" s="12">
        <v>0</v>
      </c>
      <c r="I8" s="20">
        <v>20.67</v>
      </c>
      <c r="J8" s="2">
        <v>47250</v>
      </c>
      <c r="K8" s="21" t="s">
        <v>67</v>
      </c>
      <c r="L8" s="1">
        <v>29620.433520000002</v>
      </c>
      <c r="M8" s="2">
        <v>24712.063974000004</v>
      </c>
      <c r="N8" s="1">
        <f t="shared" si="0"/>
        <v>35256.819000000003</v>
      </c>
      <c r="O8" s="2">
        <f t="shared" si="1"/>
        <v>29620.433520000002</v>
      </c>
      <c r="P8" s="2">
        <f t="shared" si="32"/>
        <v>38425.530000000006</v>
      </c>
      <c r="Q8" s="1">
        <v>0</v>
      </c>
      <c r="R8" s="1">
        <v>0</v>
      </c>
      <c r="S8" s="2">
        <f t="shared" si="26"/>
        <v>29620.433520000002</v>
      </c>
      <c r="T8" s="1">
        <f>1939*I8</f>
        <v>40079.130000000005</v>
      </c>
      <c r="U8" s="1"/>
      <c r="V8" s="1">
        <f>1836*I8</f>
        <v>37950.120000000003</v>
      </c>
      <c r="W8" s="2">
        <f t="shared" si="2"/>
        <v>29620.433520000002</v>
      </c>
      <c r="X8" s="2" t="s">
        <v>63</v>
      </c>
      <c r="Y8" s="2">
        <f t="shared" si="3"/>
        <v>29620.433520000002</v>
      </c>
      <c r="Z8" s="1">
        <f>1554*I8</f>
        <v>32121.180000000004</v>
      </c>
      <c r="AA8" s="2">
        <f>1851*I8</f>
        <v>38260.170000000006</v>
      </c>
      <c r="AB8" s="1">
        <f t="shared" si="4"/>
        <v>26658.390168000002</v>
      </c>
      <c r="AC8" s="2">
        <f t="shared" si="5"/>
        <v>29620.433520000002</v>
      </c>
      <c r="AD8" s="1">
        <f t="shared" si="6"/>
        <v>31101.455196000003</v>
      </c>
      <c r="AE8" s="2">
        <f t="shared" si="7"/>
        <v>29620.433520000002</v>
      </c>
      <c r="AF8" s="2">
        <f t="shared" si="8"/>
        <v>29620.433520000002</v>
      </c>
      <c r="AG8" s="2">
        <f t="shared" si="9"/>
        <v>27250.798838400002</v>
      </c>
      <c r="AH8" s="1">
        <f t="shared" si="10"/>
        <v>41214.67</v>
      </c>
      <c r="AI8" s="2">
        <f>1800*16+1600*5</f>
        <v>36800</v>
      </c>
      <c r="AJ8" s="2">
        <f t="shared" si="27"/>
        <v>29620.433520000002</v>
      </c>
      <c r="AK8" s="1">
        <f t="shared" si="11"/>
        <v>34002.15</v>
      </c>
      <c r="AL8" s="2">
        <f t="shared" si="12"/>
        <v>29620.433520000002</v>
      </c>
      <c r="AM8" s="2">
        <f t="shared" si="13"/>
        <v>35139</v>
      </c>
      <c r="AN8" s="2" t="s">
        <v>63</v>
      </c>
      <c r="AO8" s="2" t="s">
        <v>63</v>
      </c>
      <c r="AP8" s="2" t="s">
        <v>63</v>
      </c>
      <c r="AQ8" s="2">
        <f>1665*I8</f>
        <v>34415.550000000003</v>
      </c>
      <c r="AR8" s="1" t="s">
        <v>63</v>
      </c>
      <c r="AS8" s="2">
        <f t="shared" si="14"/>
        <v>24712.063974000004</v>
      </c>
      <c r="AT8" s="2">
        <f t="shared" si="15"/>
        <v>29620.433520000002</v>
      </c>
      <c r="AU8" s="1">
        <v>39455.046891000005</v>
      </c>
      <c r="AV8" s="2">
        <f t="shared" si="28"/>
        <v>27183.270371400005</v>
      </c>
      <c r="AW8" s="2">
        <f t="shared" si="16"/>
        <v>29620.433520000002</v>
      </c>
      <c r="AX8" s="1">
        <f>2300*I8</f>
        <v>47541.000000000007</v>
      </c>
      <c r="AY8" s="2">
        <f>1730*I8</f>
        <v>35759.100000000006</v>
      </c>
      <c r="AZ8" s="1">
        <v>0</v>
      </c>
      <c r="BA8" s="1">
        <v>0</v>
      </c>
      <c r="BB8" s="1">
        <v>0</v>
      </c>
      <c r="BC8" s="2">
        <f t="shared" si="29"/>
        <v>45474.000000000007</v>
      </c>
      <c r="BD8" s="2">
        <f t="shared" si="30"/>
        <v>51675.000000000007</v>
      </c>
      <c r="BE8" s="2">
        <f t="shared" si="31"/>
        <v>39273</v>
      </c>
      <c r="BF8" s="2">
        <f t="shared" si="17"/>
        <v>28421.250000000004</v>
      </c>
      <c r="BG8" s="2">
        <f t="shared" si="18"/>
        <v>29620.433520000002</v>
      </c>
      <c r="BH8" s="2">
        <f t="shared" si="19"/>
        <v>28139.411844000002</v>
      </c>
      <c r="BI8" s="1">
        <v>0</v>
      </c>
      <c r="BJ8" s="1">
        <v>0</v>
      </c>
      <c r="BK8" s="2">
        <f t="shared" si="20"/>
        <v>28139.411844000002</v>
      </c>
      <c r="BL8" s="2">
        <f t="shared" si="21"/>
        <v>29620.433520000002</v>
      </c>
      <c r="BM8" s="1">
        <f t="shared" si="22"/>
        <v>45680.700000000004</v>
      </c>
      <c r="BN8" s="2">
        <f t="shared" si="23"/>
        <v>29620.433520000002</v>
      </c>
      <c r="BO8" s="2">
        <f>MIN(N8:BN8:BN8)</f>
        <v>0</v>
      </c>
      <c r="BP8" s="2">
        <f t="shared" si="24"/>
        <v>51675.000000000007</v>
      </c>
      <c r="BQ8" s="22"/>
    </row>
    <row r="9" spans="1:69" ht="20.100000000000001" customHeight="1" x14ac:dyDescent="0.2">
      <c r="A9" s="17">
        <f t="shared" si="25"/>
        <v>7</v>
      </c>
      <c r="B9" s="18" t="s">
        <v>63</v>
      </c>
      <c r="C9" s="18" t="s">
        <v>64</v>
      </c>
      <c r="D9" s="19" t="s">
        <v>73</v>
      </c>
      <c r="E9" s="18" t="s">
        <v>66</v>
      </c>
      <c r="F9" s="8">
        <v>40826.199999999997</v>
      </c>
      <c r="G9" s="18" t="s">
        <v>64</v>
      </c>
      <c r="H9" s="12">
        <v>0</v>
      </c>
      <c r="I9" s="20">
        <v>16.27</v>
      </c>
      <c r="J9" s="2">
        <v>36000</v>
      </c>
      <c r="K9" s="21" t="s">
        <v>67</v>
      </c>
      <c r="L9" s="1">
        <v>26917.020080000002</v>
      </c>
      <c r="M9" s="2">
        <v>19451.634294000003</v>
      </c>
      <c r="N9" s="1">
        <f t="shared" si="0"/>
        <v>27751.739000000001</v>
      </c>
      <c r="O9" s="2">
        <f t="shared" si="1"/>
        <v>26917.020080000002</v>
      </c>
      <c r="P9" s="2">
        <f t="shared" si="32"/>
        <v>30245.93</v>
      </c>
      <c r="Q9" s="1">
        <v>0</v>
      </c>
      <c r="R9" s="1">
        <v>0</v>
      </c>
      <c r="S9" s="2">
        <f t="shared" si="26"/>
        <v>26917.020080000002</v>
      </c>
      <c r="T9" s="1">
        <f>1939*I9</f>
        <v>31547.53</v>
      </c>
      <c r="U9" s="1"/>
      <c r="V9" s="1">
        <f>1836*I9</f>
        <v>29871.719999999998</v>
      </c>
      <c r="W9" s="2">
        <f t="shared" si="2"/>
        <v>26917.020080000002</v>
      </c>
      <c r="X9" s="2" t="s">
        <v>63</v>
      </c>
      <c r="Y9" s="2">
        <f t="shared" si="3"/>
        <v>26917.020080000002</v>
      </c>
      <c r="Z9" s="1">
        <f>1554*I9</f>
        <v>25283.579999999998</v>
      </c>
      <c r="AA9" s="2">
        <f>1851*I9</f>
        <v>30115.77</v>
      </c>
      <c r="AB9" s="1">
        <f t="shared" si="4"/>
        <v>24225.318072000002</v>
      </c>
      <c r="AC9" s="2">
        <f t="shared" si="5"/>
        <v>26917.020080000002</v>
      </c>
      <c r="AD9" s="1">
        <f t="shared" si="6"/>
        <v>28262.871084000002</v>
      </c>
      <c r="AE9" s="2">
        <f t="shared" si="7"/>
        <v>26917.020080000002</v>
      </c>
      <c r="AF9" s="2">
        <f t="shared" si="8"/>
        <v>26917.020080000002</v>
      </c>
      <c r="AG9" s="2">
        <f t="shared" si="9"/>
        <v>24763.658473600004</v>
      </c>
      <c r="AH9" s="1">
        <f t="shared" si="10"/>
        <v>28578.339999999997</v>
      </c>
      <c r="AI9" s="2">
        <f t="shared" ref="AI9:AI19" si="33">1800*I9</f>
        <v>29286</v>
      </c>
      <c r="AJ9" s="2">
        <f t="shared" si="27"/>
        <v>26917.020080000002</v>
      </c>
      <c r="AK9" s="1">
        <f t="shared" si="11"/>
        <v>26764.149999999998</v>
      </c>
      <c r="AL9" s="2">
        <f t="shared" si="12"/>
        <v>26917.020080000002</v>
      </c>
      <c r="AM9" s="2">
        <f t="shared" si="13"/>
        <v>27659</v>
      </c>
      <c r="AN9" s="2" t="s">
        <v>63</v>
      </c>
      <c r="AO9" s="2" t="s">
        <v>63</v>
      </c>
      <c r="AP9" s="2" t="s">
        <v>63</v>
      </c>
      <c r="AQ9" s="2">
        <f>1665*I9</f>
        <v>27089.55</v>
      </c>
      <c r="AR9" s="1" t="s">
        <v>63</v>
      </c>
      <c r="AS9" s="2">
        <f t="shared" si="14"/>
        <v>19451.634294000003</v>
      </c>
      <c r="AT9" s="2">
        <f t="shared" si="15"/>
        <v>26917.020080000002</v>
      </c>
      <c r="AU9" s="1">
        <v>31056.294771000008</v>
      </c>
      <c r="AV9" s="2">
        <f t="shared" si="28"/>
        <v>21396.797723400006</v>
      </c>
      <c r="AW9" s="2">
        <f t="shared" si="16"/>
        <v>26917.020080000002</v>
      </c>
      <c r="AX9" s="1">
        <f>2300*I9</f>
        <v>37421</v>
      </c>
      <c r="AY9" s="2">
        <f>1730*I9</f>
        <v>28147.1</v>
      </c>
      <c r="AZ9" s="1">
        <v>0</v>
      </c>
      <c r="BA9" s="1">
        <v>0</v>
      </c>
      <c r="BB9" s="1">
        <v>0</v>
      </c>
      <c r="BC9" s="2">
        <f t="shared" si="29"/>
        <v>35794</v>
      </c>
      <c r="BD9" s="2">
        <f t="shared" si="30"/>
        <v>40675</v>
      </c>
      <c r="BE9" s="2">
        <f t="shared" si="31"/>
        <v>30913</v>
      </c>
      <c r="BF9" s="2">
        <f t="shared" si="17"/>
        <v>22371.25</v>
      </c>
      <c r="BG9" s="2">
        <f t="shared" si="18"/>
        <v>26917.020080000002</v>
      </c>
      <c r="BH9" s="2">
        <f t="shared" si="19"/>
        <v>25571.169076000002</v>
      </c>
      <c r="BI9" s="1">
        <v>0</v>
      </c>
      <c r="BJ9" s="1">
        <v>0</v>
      </c>
      <c r="BK9" s="2">
        <f t="shared" si="20"/>
        <v>25571.169076000002</v>
      </c>
      <c r="BL9" s="2">
        <f t="shared" si="21"/>
        <v>26917.020080000002</v>
      </c>
      <c r="BM9" s="1">
        <f t="shared" si="22"/>
        <v>35956.699999999997</v>
      </c>
      <c r="BN9" s="2">
        <f t="shared" si="23"/>
        <v>26917.020080000002</v>
      </c>
      <c r="BO9" s="2">
        <f>MIN(N9:BN9:BN9)</f>
        <v>0</v>
      </c>
      <c r="BP9" s="2">
        <f t="shared" si="24"/>
        <v>40675</v>
      </c>
      <c r="BQ9" s="22"/>
    </row>
    <row r="10" spans="1:69" ht="20.100000000000001" customHeight="1" x14ac:dyDescent="0.2">
      <c r="A10" s="17">
        <f t="shared" si="25"/>
        <v>8</v>
      </c>
      <c r="B10" s="18" t="s">
        <v>63</v>
      </c>
      <c r="C10" s="18" t="s">
        <v>64</v>
      </c>
      <c r="D10" s="19" t="s">
        <v>74</v>
      </c>
      <c r="E10" s="18" t="s">
        <v>66</v>
      </c>
      <c r="F10" s="8">
        <v>44946.21</v>
      </c>
      <c r="G10" s="18" t="s">
        <v>64</v>
      </c>
      <c r="H10" s="12">
        <v>0</v>
      </c>
      <c r="I10" s="20">
        <v>12.28</v>
      </c>
      <c r="J10" s="2">
        <v>27000</v>
      </c>
      <c r="K10" s="21" t="s">
        <v>67</v>
      </c>
      <c r="L10" s="1">
        <v>22514.75304</v>
      </c>
      <c r="M10" s="2">
        <v>14681.381016000001</v>
      </c>
      <c r="N10" s="1">
        <f t="shared" si="0"/>
        <v>20945.995999999999</v>
      </c>
      <c r="O10" s="2">
        <f t="shared" si="1"/>
        <v>22514.75304</v>
      </c>
      <c r="P10" s="2">
        <f t="shared" si="32"/>
        <v>22828.52</v>
      </c>
      <c r="Q10" s="1">
        <v>0</v>
      </c>
      <c r="R10" s="1">
        <v>0</v>
      </c>
      <c r="S10" s="2">
        <f t="shared" si="26"/>
        <v>22514.75304</v>
      </c>
      <c r="T10" s="1">
        <f t="shared" ref="T10:T19" si="34">1742*I10</f>
        <v>21391.759999999998</v>
      </c>
      <c r="U10" s="1"/>
      <c r="V10" s="1">
        <f t="shared" ref="V10:V21" si="35">1706*I10</f>
        <v>20949.68</v>
      </c>
      <c r="W10" s="2">
        <f t="shared" si="2"/>
        <v>22514.75304</v>
      </c>
      <c r="X10" s="2" t="s">
        <v>63</v>
      </c>
      <c r="Y10" s="2">
        <f t="shared" si="3"/>
        <v>22514.75304</v>
      </c>
      <c r="Z10" s="1">
        <f t="shared" ref="Z10:Z20" si="36">1521*I10</f>
        <v>18677.879999999997</v>
      </c>
      <c r="AA10" s="2">
        <f t="shared" ref="AA10:AA20" si="37">1702*I10</f>
        <v>20900.559999999998</v>
      </c>
      <c r="AB10" s="1">
        <f t="shared" si="4"/>
        <v>20263.277736</v>
      </c>
      <c r="AC10" s="2">
        <f t="shared" si="5"/>
        <v>22514.75304</v>
      </c>
      <c r="AD10" s="1">
        <f t="shared" si="6"/>
        <v>23640.490691999999</v>
      </c>
      <c r="AE10" s="2">
        <f t="shared" si="7"/>
        <v>22514.75304</v>
      </c>
      <c r="AF10" s="2">
        <f t="shared" si="8"/>
        <v>22514.75304</v>
      </c>
      <c r="AG10" s="2">
        <f t="shared" si="9"/>
        <v>20713.572796799999</v>
      </c>
      <c r="AH10" s="1">
        <f t="shared" si="10"/>
        <v>31462.346999999998</v>
      </c>
      <c r="AI10" s="2">
        <f t="shared" si="33"/>
        <v>22104</v>
      </c>
      <c r="AJ10" s="2">
        <f t="shared" si="27"/>
        <v>22514.75304</v>
      </c>
      <c r="AK10" s="1">
        <f t="shared" si="11"/>
        <v>20200.599999999999</v>
      </c>
      <c r="AL10" s="2">
        <f t="shared" si="12"/>
        <v>22514.75304</v>
      </c>
      <c r="AM10" s="2">
        <f t="shared" si="13"/>
        <v>20876</v>
      </c>
      <c r="AN10" s="2" t="s">
        <v>63</v>
      </c>
      <c r="AO10" s="2" t="s">
        <v>63</v>
      </c>
      <c r="AP10" s="2" t="s">
        <v>63</v>
      </c>
      <c r="AQ10" s="2">
        <f t="shared" ref="AQ10:AQ20" si="38">1529*I10</f>
        <v>18776.12</v>
      </c>
      <c r="AR10" s="1" t="s">
        <v>63</v>
      </c>
      <c r="AS10" s="2">
        <f t="shared" si="14"/>
        <v>14681.381016000001</v>
      </c>
      <c r="AT10" s="2">
        <f t="shared" si="15"/>
        <v>22514.75304</v>
      </c>
      <c r="AU10" s="1">
        <v>23440.153644000002</v>
      </c>
      <c r="AV10" s="2">
        <f t="shared" si="28"/>
        <v>16149.519117600003</v>
      </c>
      <c r="AW10" s="2">
        <f t="shared" si="16"/>
        <v>22514.75304</v>
      </c>
      <c r="AX10" s="1">
        <f t="shared" ref="AX10:AX20" si="39">2075*I10</f>
        <v>25481</v>
      </c>
      <c r="AY10" s="2">
        <f t="shared" ref="AY10:AY20" si="40">1610*I10</f>
        <v>19770.8</v>
      </c>
      <c r="AZ10" s="1">
        <v>0</v>
      </c>
      <c r="BA10" s="1">
        <v>0</v>
      </c>
      <c r="BB10" s="1">
        <v>0</v>
      </c>
      <c r="BC10" s="2">
        <f t="shared" si="29"/>
        <v>27016</v>
      </c>
      <c r="BD10" s="2">
        <f t="shared" si="30"/>
        <v>30700</v>
      </c>
      <c r="BE10" s="2">
        <f t="shared" si="31"/>
        <v>23332</v>
      </c>
      <c r="BF10" s="2">
        <f t="shared" si="17"/>
        <v>16885</v>
      </c>
      <c r="BG10" s="2">
        <f t="shared" si="18"/>
        <v>22514.75304</v>
      </c>
      <c r="BH10" s="2">
        <f t="shared" si="19"/>
        <v>21389.015388</v>
      </c>
      <c r="BI10" s="1">
        <v>0</v>
      </c>
      <c r="BJ10" s="1">
        <v>0</v>
      </c>
      <c r="BK10" s="2">
        <f t="shared" si="20"/>
        <v>21389.015388</v>
      </c>
      <c r="BL10" s="2">
        <f t="shared" si="21"/>
        <v>22514.75304</v>
      </c>
      <c r="BM10" s="1">
        <f t="shared" si="22"/>
        <v>27138.799999999999</v>
      </c>
      <c r="BN10" s="2">
        <f t="shared" si="23"/>
        <v>22514.75304</v>
      </c>
      <c r="BO10" s="2">
        <f>MIN(N10:BN10:BN10)</f>
        <v>0</v>
      </c>
      <c r="BP10" s="2">
        <f t="shared" si="24"/>
        <v>31462.346999999998</v>
      </c>
      <c r="BQ10" s="22"/>
    </row>
    <row r="11" spans="1:69" ht="20.100000000000001" customHeight="1" x14ac:dyDescent="0.2">
      <c r="A11" s="17">
        <f t="shared" ref="A11:A74" si="41">A10+1</f>
        <v>9</v>
      </c>
      <c r="B11" s="18" t="s">
        <v>63</v>
      </c>
      <c r="C11" s="18" t="s">
        <v>64</v>
      </c>
      <c r="D11" s="19" t="s">
        <v>75</v>
      </c>
      <c r="E11" s="18" t="s">
        <v>66</v>
      </c>
      <c r="F11" s="8">
        <v>65966.210000000006</v>
      </c>
      <c r="G11" s="18" t="s">
        <v>64</v>
      </c>
      <c r="H11" s="12">
        <v>0</v>
      </c>
      <c r="I11" s="20">
        <v>14.63</v>
      </c>
      <c r="J11" s="2">
        <v>33750</v>
      </c>
      <c r="K11" s="21" t="s">
        <v>67</v>
      </c>
      <c r="L11" s="1">
        <v>28003.47968</v>
      </c>
      <c r="M11" s="2">
        <v>17490.928686000003</v>
      </c>
      <c r="N11" s="1">
        <f t="shared" si="0"/>
        <v>24954.391000000003</v>
      </c>
      <c r="O11" s="2">
        <f t="shared" si="1"/>
        <v>28003.47968</v>
      </c>
      <c r="P11" s="2">
        <f t="shared" si="32"/>
        <v>27197.170000000002</v>
      </c>
      <c r="Q11" s="1">
        <v>0</v>
      </c>
      <c r="R11" s="1">
        <v>0</v>
      </c>
      <c r="S11" s="2">
        <f>L11</f>
        <v>28003.47968</v>
      </c>
      <c r="T11" s="1">
        <f t="shared" si="34"/>
        <v>25485.460000000003</v>
      </c>
      <c r="U11" s="1"/>
      <c r="V11" s="1">
        <f t="shared" si="35"/>
        <v>24958.780000000002</v>
      </c>
      <c r="W11" s="2">
        <f t="shared" si="2"/>
        <v>28003.47968</v>
      </c>
      <c r="X11" s="2" t="s">
        <v>63</v>
      </c>
      <c r="Y11" s="2">
        <f t="shared" si="3"/>
        <v>28003.47968</v>
      </c>
      <c r="Z11" s="1">
        <f t="shared" si="36"/>
        <v>22252.23</v>
      </c>
      <c r="AA11" s="2">
        <f t="shared" si="37"/>
        <v>24900.260000000002</v>
      </c>
      <c r="AB11" s="1">
        <f t="shared" si="4"/>
        <v>25203.131712000002</v>
      </c>
      <c r="AC11" s="2">
        <f t="shared" si="5"/>
        <v>28003.47968</v>
      </c>
      <c r="AD11" s="1">
        <f t="shared" si="6"/>
        <v>29403.653664000001</v>
      </c>
      <c r="AE11" s="2">
        <f t="shared" si="7"/>
        <v>28003.47968</v>
      </c>
      <c r="AF11" s="2">
        <f t="shared" si="8"/>
        <v>28003.47968</v>
      </c>
      <c r="AG11" s="2">
        <f t="shared" si="9"/>
        <v>25763.201305600003</v>
      </c>
      <c r="AH11" s="1">
        <f t="shared" si="10"/>
        <v>46176.347000000002</v>
      </c>
      <c r="AI11" s="2">
        <f t="shared" si="33"/>
        <v>26334</v>
      </c>
      <c r="AJ11" s="2">
        <f t="shared" si="27"/>
        <v>28003.47968</v>
      </c>
      <c r="AK11" s="1">
        <f t="shared" si="11"/>
        <v>24066.350000000002</v>
      </c>
      <c r="AL11" s="2">
        <f t="shared" si="12"/>
        <v>28003.47968</v>
      </c>
      <c r="AM11" s="2">
        <f t="shared" si="13"/>
        <v>24871</v>
      </c>
      <c r="AN11" s="2" t="s">
        <v>63</v>
      </c>
      <c r="AO11" s="2" t="s">
        <v>63</v>
      </c>
      <c r="AP11" s="2" t="s">
        <v>63</v>
      </c>
      <c r="AQ11" s="2">
        <f t="shared" si="38"/>
        <v>22369.27</v>
      </c>
      <c r="AR11" s="1" t="s">
        <v>63</v>
      </c>
      <c r="AS11" s="2">
        <f t="shared" si="14"/>
        <v>17490.928686000003</v>
      </c>
      <c r="AT11" s="2">
        <f>L11</f>
        <v>28003.47968</v>
      </c>
      <c r="AU11" s="1">
        <v>27925.850799000003</v>
      </c>
      <c r="AV11" s="2">
        <f t="shared" si="28"/>
        <v>19240.021554600004</v>
      </c>
      <c r="AW11" s="2">
        <f t="shared" si="16"/>
        <v>28003.47968</v>
      </c>
      <c r="AX11" s="1">
        <f t="shared" si="39"/>
        <v>30357.25</v>
      </c>
      <c r="AY11" s="2">
        <f t="shared" si="40"/>
        <v>23554.300000000003</v>
      </c>
      <c r="AZ11" s="1">
        <v>0</v>
      </c>
      <c r="BA11" s="1">
        <v>0</v>
      </c>
      <c r="BB11" s="1">
        <v>0</v>
      </c>
      <c r="BC11" s="2">
        <f t="shared" si="29"/>
        <v>32186</v>
      </c>
      <c r="BD11" s="2">
        <f t="shared" si="30"/>
        <v>36575</v>
      </c>
      <c r="BE11" s="2">
        <f t="shared" si="31"/>
        <v>27797</v>
      </c>
      <c r="BF11" s="2">
        <f t="shared" si="17"/>
        <v>20116.25</v>
      </c>
      <c r="BG11" s="2">
        <f t="shared" si="18"/>
        <v>28003.47968</v>
      </c>
      <c r="BH11" s="2">
        <f t="shared" si="19"/>
        <v>26603.305695999999</v>
      </c>
      <c r="BI11" s="1">
        <v>0</v>
      </c>
      <c r="BJ11" s="1">
        <v>0</v>
      </c>
      <c r="BK11" s="2">
        <f t="shared" si="20"/>
        <v>26603.305695999999</v>
      </c>
      <c r="BL11" s="2">
        <f t="shared" si="21"/>
        <v>28003.47968</v>
      </c>
      <c r="BM11" s="1">
        <f t="shared" si="22"/>
        <v>32332.300000000003</v>
      </c>
      <c r="BN11" s="2">
        <f t="shared" si="23"/>
        <v>28003.47968</v>
      </c>
      <c r="BO11" s="2">
        <f>MIN(N11:BN11:BN11)</f>
        <v>0</v>
      </c>
      <c r="BP11" s="2">
        <f t="shared" si="24"/>
        <v>46176.347000000002</v>
      </c>
      <c r="BQ11" s="22"/>
    </row>
    <row r="12" spans="1:69" ht="20.100000000000001" customHeight="1" x14ac:dyDescent="0.2">
      <c r="A12" s="17">
        <f t="shared" si="41"/>
        <v>10</v>
      </c>
      <c r="B12" s="18" t="s">
        <v>63</v>
      </c>
      <c r="C12" s="18" t="s">
        <v>64</v>
      </c>
      <c r="D12" s="19" t="s">
        <v>76</v>
      </c>
      <c r="E12" s="18" t="s">
        <v>66</v>
      </c>
      <c r="F12" s="8">
        <v>51612.78</v>
      </c>
      <c r="G12" s="18" t="s">
        <v>64</v>
      </c>
      <c r="H12" s="12">
        <v>0</v>
      </c>
      <c r="I12" s="20">
        <v>14.66</v>
      </c>
      <c r="J12" s="2">
        <v>33750</v>
      </c>
      <c r="K12" s="21" t="s">
        <v>67</v>
      </c>
      <c r="L12" s="1">
        <v>25866.344000000001</v>
      </c>
      <c r="M12" s="2">
        <v>17526.795252000004</v>
      </c>
      <c r="N12" s="1">
        <f t="shared" si="0"/>
        <v>25005.562000000002</v>
      </c>
      <c r="O12" s="2">
        <f t="shared" si="1"/>
        <v>25866.344000000001</v>
      </c>
      <c r="P12" s="2">
        <f t="shared" si="32"/>
        <v>27252.94</v>
      </c>
      <c r="Q12" s="1">
        <v>0</v>
      </c>
      <c r="R12" s="1">
        <v>0</v>
      </c>
      <c r="S12" s="2">
        <f t="shared" si="26"/>
        <v>25866.344000000001</v>
      </c>
      <c r="T12" s="1">
        <f t="shared" si="34"/>
        <v>25537.72</v>
      </c>
      <c r="U12" s="1"/>
      <c r="V12" s="1">
        <f t="shared" si="35"/>
        <v>25009.96</v>
      </c>
      <c r="W12" s="2">
        <f t="shared" si="2"/>
        <v>25866.344000000001</v>
      </c>
      <c r="X12" s="2" t="s">
        <v>63</v>
      </c>
      <c r="Y12" s="2">
        <f t="shared" si="3"/>
        <v>25866.344000000001</v>
      </c>
      <c r="Z12" s="1">
        <f t="shared" si="36"/>
        <v>22297.86</v>
      </c>
      <c r="AA12" s="2">
        <f t="shared" si="37"/>
        <v>24951.32</v>
      </c>
      <c r="AB12" s="1">
        <f t="shared" si="4"/>
        <v>23279.709600000002</v>
      </c>
      <c r="AC12" s="2">
        <f t="shared" si="5"/>
        <v>25866.344000000001</v>
      </c>
      <c r="AD12" s="1">
        <f t="shared" si="6"/>
        <v>27159.661200000002</v>
      </c>
      <c r="AE12" s="2">
        <f t="shared" si="7"/>
        <v>25866.344000000001</v>
      </c>
      <c r="AF12" s="2">
        <f t="shared" si="8"/>
        <v>25866.344000000001</v>
      </c>
      <c r="AG12" s="2">
        <f t="shared" si="9"/>
        <v>23797.036480000002</v>
      </c>
      <c r="AH12" s="1">
        <f t="shared" si="10"/>
        <v>36128.945999999996</v>
      </c>
      <c r="AI12" s="2">
        <f t="shared" si="33"/>
        <v>26388</v>
      </c>
      <c r="AJ12" s="2">
        <f t="shared" si="27"/>
        <v>25866.344000000001</v>
      </c>
      <c r="AK12" s="1">
        <f t="shared" si="11"/>
        <v>24115.7</v>
      </c>
      <c r="AL12" s="2">
        <f t="shared" si="12"/>
        <v>25866.344000000001</v>
      </c>
      <c r="AM12" s="2">
        <f t="shared" si="13"/>
        <v>24922</v>
      </c>
      <c r="AN12" s="2" t="s">
        <v>63</v>
      </c>
      <c r="AO12" s="2" t="s">
        <v>63</v>
      </c>
      <c r="AP12" s="2" t="s">
        <v>63</v>
      </c>
      <c r="AQ12" s="2">
        <f t="shared" si="38"/>
        <v>22415.14</v>
      </c>
      <c r="AR12" s="1" t="s">
        <v>63</v>
      </c>
      <c r="AS12" s="2">
        <f t="shared" si="14"/>
        <v>17526.795252000004</v>
      </c>
      <c r="AT12" s="2">
        <f t="shared" si="15"/>
        <v>25866.344000000001</v>
      </c>
      <c r="AU12" s="1">
        <v>27983.115018000004</v>
      </c>
      <c r="AV12" s="2">
        <f t="shared" si="28"/>
        <v>19279.474777200005</v>
      </c>
      <c r="AW12" s="2">
        <f t="shared" si="16"/>
        <v>25866.344000000001</v>
      </c>
      <c r="AX12" s="1">
        <f t="shared" si="39"/>
        <v>30419.5</v>
      </c>
      <c r="AY12" s="2">
        <f t="shared" si="40"/>
        <v>23602.6</v>
      </c>
      <c r="AZ12" s="1">
        <v>0</v>
      </c>
      <c r="BA12" s="1">
        <v>0</v>
      </c>
      <c r="BB12" s="1">
        <v>0</v>
      </c>
      <c r="BC12" s="2">
        <f t="shared" si="29"/>
        <v>32252</v>
      </c>
      <c r="BD12" s="2">
        <f t="shared" si="30"/>
        <v>36650</v>
      </c>
      <c r="BE12" s="2">
        <f t="shared" si="31"/>
        <v>27854</v>
      </c>
      <c r="BF12" s="2">
        <f t="shared" si="17"/>
        <v>20157.5</v>
      </c>
      <c r="BG12" s="2">
        <f t="shared" si="18"/>
        <v>25866.344000000001</v>
      </c>
      <c r="BH12" s="2">
        <f t="shared" si="19"/>
        <v>24573.0268</v>
      </c>
      <c r="BI12" s="1">
        <v>0</v>
      </c>
      <c r="BJ12" s="1">
        <v>0</v>
      </c>
      <c r="BK12" s="2">
        <f t="shared" si="20"/>
        <v>24573.0268</v>
      </c>
      <c r="BL12" s="2">
        <f t="shared" si="21"/>
        <v>25866.344000000001</v>
      </c>
      <c r="BM12" s="1">
        <f t="shared" si="22"/>
        <v>32398.6</v>
      </c>
      <c r="BN12" s="2">
        <f t="shared" si="23"/>
        <v>25866.344000000001</v>
      </c>
      <c r="BO12" s="2">
        <f>MIN(N12:BN12:BN12)</f>
        <v>0</v>
      </c>
      <c r="BP12" s="2">
        <f t="shared" si="24"/>
        <v>36650</v>
      </c>
      <c r="BQ12" s="22"/>
    </row>
    <row r="13" spans="1:69" ht="20.100000000000001" customHeight="1" x14ac:dyDescent="0.2">
      <c r="A13" s="17">
        <f t="shared" si="41"/>
        <v>11</v>
      </c>
      <c r="B13" s="18" t="s">
        <v>63</v>
      </c>
      <c r="C13" s="18" t="s">
        <v>64</v>
      </c>
      <c r="D13" s="19" t="s">
        <v>77</v>
      </c>
      <c r="E13" s="18" t="s">
        <v>66</v>
      </c>
      <c r="F13" s="8">
        <v>43823.7</v>
      </c>
      <c r="G13" s="18" t="s">
        <v>64</v>
      </c>
      <c r="H13" s="12">
        <v>0</v>
      </c>
      <c r="I13" s="20">
        <v>12.67</v>
      </c>
      <c r="J13" s="2">
        <v>29250</v>
      </c>
      <c r="K13" s="21" t="s">
        <v>67</v>
      </c>
      <c r="L13" s="1">
        <v>23258.272000000001</v>
      </c>
      <c r="M13" s="2">
        <v>15147.646374</v>
      </c>
      <c r="N13" s="1">
        <f t="shared" si="0"/>
        <v>21611.219000000001</v>
      </c>
      <c r="O13" s="2">
        <f t="shared" si="1"/>
        <v>23258.272000000001</v>
      </c>
      <c r="P13" s="2">
        <f t="shared" si="32"/>
        <v>23553.53</v>
      </c>
      <c r="Q13" s="1">
        <v>0</v>
      </c>
      <c r="R13" s="1">
        <v>0</v>
      </c>
      <c r="S13" s="2">
        <f t="shared" si="26"/>
        <v>23258.272000000001</v>
      </c>
      <c r="T13" s="1">
        <f t="shared" si="34"/>
        <v>22071.14</v>
      </c>
      <c r="U13" s="1"/>
      <c r="V13" s="1">
        <f t="shared" si="35"/>
        <v>21615.02</v>
      </c>
      <c r="W13" s="2">
        <f t="shared" si="2"/>
        <v>23258.272000000001</v>
      </c>
      <c r="X13" s="2" t="s">
        <v>63</v>
      </c>
      <c r="Y13" s="2">
        <f t="shared" si="3"/>
        <v>23258.272000000001</v>
      </c>
      <c r="Z13" s="1">
        <f t="shared" si="36"/>
        <v>19271.07</v>
      </c>
      <c r="AA13" s="2">
        <f t="shared" si="37"/>
        <v>21564.34</v>
      </c>
      <c r="AB13" s="1">
        <f t="shared" si="4"/>
        <v>20932.444800000001</v>
      </c>
      <c r="AC13" s="2">
        <f t="shared" si="5"/>
        <v>23258.272000000001</v>
      </c>
      <c r="AD13" s="1">
        <f t="shared" si="6"/>
        <v>24421.185600000001</v>
      </c>
      <c r="AE13" s="2">
        <f t="shared" si="7"/>
        <v>23258.272000000001</v>
      </c>
      <c r="AF13" s="2">
        <f t="shared" si="8"/>
        <v>23258.272000000001</v>
      </c>
      <c r="AG13" s="2">
        <f t="shared" si="9"/>
        <v>21397.610240000002</v>
      </c>
      <c r="AH13" s="1">
        <f t="shared" si="10"/>
        <v>30676.589999999997</v>
      </c>
      <c r="AI13" s="2">
        <f t="shared" si="33"/>
        <v>22806</v>
      </c>
      <c r="AJ13" s="2">
        <f t="shared" si="27"/>
        <v>23258.272000000001</v>
      </c>
      <c r="AK13" s="1">
        <f t="shared" si="11"/>
        <v>20842.150000000001</v>
      </c>
      <c r="AL13" s="2">
        <f t="shared" si="12"/>
        <v>23258.272000000001</v>
      </c>
      <c r="AM13" s="2">
        <f t="shared" si="13"/>
        <v>21539</v>
      </c>
      <c r="AN13" s="2" t="s">
        <v>63</v>
      </c>
      <c r="AO13" s="2" t="s">
        <v>63</v>
      </c>
      <c r="AP13" s="2" t="s">
        <v>63</v>
      </c>
      <c r="AQ13" s="2">
        <f t="shared" si="38"/>
        <v>19372.43</v>
      </c>
      <c r="AR13" s="1" t="s">
        <v>63</v>
      </c>
      <c r="AS13" s="2">
        <f t="shared" si="14"/>
        <v>15147.646374</v>
      </c>
      <c r="AT13" s="2">
        <f t="shared" si="15"/>
        <v>23258.272000000001</v>
      </c>
      <c r="AU13" s="1">
        <v>24184.588491000006</v>
      </c>
      <c r="AV13" s="2">
        <f t="shared" si="28"/>
        <v>16662.4110114</v>
      </c>
      <c r="AW13" s="2">
        <f t="shared" si="16"/>
        <v>23258.272000000001</v>
      </c>
      <c r="AX13" s="1">
        <f t="shared" si="39"/>
        <v>26290.25</v>
      </c>
      <c r="AY13" s="2">
        <f t="shared" si="40"/>
        <v>20398.7</v>
      </c>
      <c r="AZ13" s="1">
        <v>0</v>
      </c>
      <c r="BA13" s="1">
        <v>0</v>
      </c>
      <c r="BB13" s="1">
        <v>0</v>
      </c>
      <c r="BC13" s="2">
        <f t="shared" si="29"/>
        <v>27874</v>
      </c>
      <c r="BD13" s="2">
        <f t="shared" si="30"/>
        <v>31675</v>
      </c>
      <c r="BE13" s="2">
        <f t="shared" si="31"/>
        <v>24073</v>
      </c>
      <c r="BF13" s="2">
        <f t="shared" si="17"/>
        <v>17421.25</v>
      </c>
      <c r="BG13" s="2">
        <f t="shared" si="18"/>
        <v>23258.272000000001</v>
      </c>
      <c r="BH13" s="2">
        <f t="shared" si="19"/>
        <v>22095.358400000001</v>
      </c>
      <c r="BI13" s="1">
        <v>0</v>
      </c>
      <c r="BJ13" s="1">
        <v>0</v>
      </c>
      <c r="BK13" s="2">
        <f t="shared" si="20"/>
        <v>22095.358400000001</v>
      </c>
      <c r="BL13" s="2">
        <f t="shared" si="21"/>
        <v>23258.272000000001</v>
      </c>
      <c r="BM13" s="1">
        <f t="shared" si="22"/>
        <v>28000.7</v>
      </c>
      <c r="BN13" s="2">
        <f t="shared" si="23"/>
        <v>23258.272000000001</v>
      </c>
      <c r="BO13" s="2">
        <f>MIN(N13:BN13:BN13)</f>
        <v>0</v>
      </c>
      <c r="BP13" s="2">
        <f t="shared" si="24"/>
        <v>31675</v>
      </c>
      <c r="BQ13" s="22"/>
    </row>
    <row r="14" spans="1:69" ht="20.100000000000001" customHeight="1" x14ac:dyDescent="0.2">
      <c r="A14" s="17">
        <f t="shared" si="41"/>
        <v>12</v>
      </c>
      <c r="B14" s="18" t="s">
        <v>63</v>
      </c>
      <c r="C14" s="18" t="s">
        <v>64</v>
      </c>
      <c r="D14" s="19" t="s">
        <v>78</v>
      </c>
      <c r="E14" s="18" t="s">
        <v>66</v>
      </c>
      <c r="F14" s="8">
        <v>41389.839999999997</v>
      </c>
      <c r="G14" s="18" t="s">
        <v>64</v>
      </c>
      <c r="H14" s="12">
        <v>0</v>
      </c>
      <c r="I14" s="20">
        <v>12.91</v>
      </c>
      <c r="J14" s="2">
        <v>29250</v>
      </c>
      <c r="K14" s="21" t="s">
        <v>67</v>
      </c>
      <c r="L14" s="1">
        <v>18062.823919999999</v>
      </c>
      <c r="M14" s="2">
        <v>15434.578902000003</v>
      </c>
      <c r="N14" s="1">
        <f t="shared" si="0"/>
        <v>22020.587</v>
      </c>
      <c r="O14" s="2">
        <f t="shared" si="1"/>
        <v>18062.823919999999</v>
      </c>
      <c r="P14" s="2">
        <f t="shared" si="32"/>
        <v>23999.69</v>
      </c>
      <c r="Q14" s="1">
        <v>0</v>
      </c>
      <c r="R14" s="1">
        <v>0</v>
      </c>
      <c r="S14" s="2">
        <f t="shared" si="26"/>
        <v>18062.823919999999</v>
      </c>
      <c r="T14" s="1">
        <f t="shared" si="34"/>
        <v>22489.22</v>
      </c>
      <c r="U14" s="1"/>
      <c r="V14" s="1">
        <f t="shared" si="35"/>
        <v>22024.46</v>
      </c>
      <c r="W14" s="2">
        <f t="shared" si="2"/>
        <v>18062.823919999999</v>
      </c>
      <c r="X14" s="2" t="s">
        <v>63</v>
      </c>
      <c r="Y14" s="2">
        <f t="shared" si="3"/>
        <v>18062.823919999999</v>
      </c>
      <c r="Z14" s="1">
        <f t="shared" si="36"/>
        <v>19636.11</v>
      </c>
      <c r="AA14" s="2">
        <f t="shared" si="37"/>
        <v>21972.82</v>
      </c>
      <c r="AB14" s="1">
        <f t="shared" si="4"/>
        <v>16256.541528</v>
      </c>
      <c r="AC14" s="2">
        <f t="shared" si="5"/>
        <v>18062.823919999999</v>
      </c>
      <c r="AD14" s="1">
        <f t="shared" si="6"/>
        <v>18965.965115999999</v>
      </c>
      <c r="AE14" s="2">
        <f t="shared" si="7"/>
        <v>18062.823919999999</v>
      </c>
      <c r="AF14" s="2">
        <f t="shared" si="8"/>
        <v>18062.823919999999</v>
      </c>
      <c r="AG14" s="2">
        <f t="shared" si="9"/>
        <v>16617.7980064</v>
      </c>
      <c r="AH14" s="1">
        <f t="shared" si="10"/>
        <v>28972.887999999995</v>
      </c>
      <c r="AI14" s="2">
        <f t="shared" si="33"/>
        <v>23238</v>
      </c>
      <c r="AJ14" s="2">
        <f t="shared" si="27"/>
        <v>18062.823919999999</v>
      </c>
      <c r="AK14" s="1">
        <f t="shared" si="11"/>
        <v>21236.95</v>
      </c>
      <c r="AL14" s="2">
        <f t="shared" si="12"/>
        <v>18062.823919999999</v>
      </c>
      <c r="AM14" s="2">
        <f t="shared" si="13"/>
        <v>21947</v>
      </c>
      <c r="AN14" s="2" t="s">
        <v>63</v>
      </c>
      <c r="AO14" s="2" t="s">
        <v>63</v>
      </c>
      <c r="AP14" s="2" t="s">
        <v>63</v>
      </c>
      <c r="AQ14" s="2">
        <f t="shared" si="38"/>
        <v>19739.39</v>
      </c>
      <c r="AR14" s="1" t="s">
        <v>63</v>
      </c>
      <c r="AS14" s="2">
        <f t="shared" si="14"/>
        <v>15434.578902000003</v>
      </c>
      <c r="AT14" s="2">
        <f t="shared" si="15"/>
        <v>18062.823919999999</v>
      </c>
      <c r="AU14" s="1">
        <v>24642.702243</v>
      </c>
      <c r="AV14" s="2">
        <f t="shared" si="28"/>
        <v>16978.036792200004</v>
      </c>
      <c r="AW14" s="2">
        <f t="shared" si="16"/>
        <v>18062.823919999999</v>
      </c>
      <c r="AX14" s="1">
        <f t="shared" si="39"/>
        <v>26788.25</v>
      </c>
      <c r="AY14" s="2">
        <f t="shared" si="40"/>
        <v>20785.099999999999</v>
      </c>
      <c r="AZ14" s="1">
        <v>0</v>
      </c>
      <c r="BA14" s="1">
        <v>0</v>
      </c>
      <c r="BB14" s="1">
        <v>0</v>
      </c>
      <c r="BC14" s="2">
        <f t="shared" si="29"/>
        <v>28402</v>
      </c>
      <c r="BD14" s="2">
        <f t="shared" si="30"/>
        <v>32275</v>
      </c>
      <c r="BE14" s="2">
        <f t="shared" si="31"/>
        <v>24529</v>
      </c>
      <c r="BF14" s="2">
        <f t="shared" si="17"/>
        <v>17751.25</v>
      </c>
      <c r="BG14" s="2">
        <f t="shared" si="18"/>
        <v>18062.823919999999</v>
      </c>
      <c r="BH14" s="2">
        <f t="shared" si="19"/>
        <v>17159.682723999998</v>
      </c>
      <c r="BI14" s="1">
        <v>0</v>
      </c>
      <c r="BJ14" s="1">
        <v>0</v>
      </c>
      <c r="BK14" s="2">
        <f t="shared" si="20"/>
        <v>17159.682723999998</v>
      </c>
      <c r="BL14" s="2">
        <f t="shared" si="21"/>
        <v>18062.823919999999</v>
      </c>
      <c r="BM14" s="1">
        <f t="shared" si="22"/>
        <v>28531.1</v>
      </c>
      <c r="BN14" s="2">
        <f t="shared" si="23"/>
        <v>18062.823919999999</v>
      </c>
      <c r="BO14" s="2">
        <f>MIN(N14:BN14:BN14)</f>
        <v>0</v>
      </c>
      <c r="BP14" s="2">
        <f t="shared" si="24"/>
        <v>32275</v>
      </c>
      <c r="BQ14" s="22"/>
    </row>
    <row r="15" spans="1:69" ht="20.100000000000001" customHeight="1" x14ac:dyDescent="0.2">
      <c r="A15" s="17">
        <f t="shared" si="41"/>
        <v>13</v>
      </c>
      <c r="B15" s="18" t="s">
        <v>63</v>
      </c>
      <c r="C15" s="18" t="s">
        <v>64</v>
      </c>
      <c r="D15" s="19" t="s">
        <v>79</v>
      </c>
      <c r="E15" s="18" t="s">
        <v>66</v>
      </c>
      <c r="F15" s="8">
        <v>48238.38</v>
      </c>
      <c r="G15" s="18" t="s">
        <v>64</v>
      </c>
      <c r="H15" s="12">
        <v>0</v>
      </c>
      <c r="I15" s="20">
        <v>13.91</v>
      </c>
      <c r="J15" s="2">
        <v>31500</v>
      </c>
      <c r="K15" s="21" t="s">
        <v>67</v>
      </c>
      <c r="L15" s="1">
        <v>31291.733200000002</v>
      </c>
      <c r="M15" s="2">
        <v>16630.131102000003</v>
      </c>
      <c r="N15" s="1">
        <f t="shared" si="0"/>
        <v>23726.287</v>
      </c>
      <c r="O15" s="2">
        <f t="shared" si="1"/>
        <v>31291.733200000002</v>
      </c>
      <c r="P15" s="2">
        <f t="shared" si="32"/>
        <v>25858.69</v>
      </c>
      <c r="Q15" s="1">
        <v>0</v>
      </c>
      <c r="R15" s="1">
        <v>0</v>
      </c>
      <c r="S15" s="2">
        <f t="shared" si="26"/>
        <v>31291.733200000002</v>
      </c>
      <c r="T15" s="1">
        <f t="shared" si="34"/>
        <v>24231.22</v>
      </c>
      <c r="U15" s="1"/>
      <c r="V15" s="1">
        <f t="shared" si="35"/>
        <v>23730.46</v>
      </c>
      <c r="W15" s="2">
        <f t="shared" si="2"/>
        <v>31291.733200000002</v>
      </c>
      <c r="X15" s="2" t="s">
        <v>63</v>
      </c>
      <c r="Y15" s="2">
        <f t="shared" si="3"/>
        <v>31291.733200000002</v>
      </c>
      <c r="Z15" s="1">
        <f t="shared" si="36"/>
        <v>21157.11</v>
      </c>
      <c r="AA15" s="2">
        <f t="shared" si="37"/>
        <v>23674.82</v>
      </c>
      <c r="AB15" s="1">
        <f t="shared" si="4"/>
        <v>28162.559880000004</v>
      </c>
      <c r="AC15" s="2">
        <f t="shared" si="5"/>
        <v>31291.733200000002</v>
      </c>
      <c r="AD15" s="1">
        <f t="shared" si="6"/>
        <v>32856.319860000003</v>
      </c>
      <c r="AE15" s="2">
        <f t="shared" si="7"/>
        <v>31291.733200000002</v>
      </c>
      <c r="AF15" s="2">
        <f t="shared" si="8"/>
        <v>31291.733200000002</v>
      </c>
      <c r="AG15" s="2">
        <f t="shared" si="9"/>
        <v>28788.394544000002</v>
      </c>
      <c r="AH15" s="1">
        <f t="shared" si="10"/>
        <v>33766.865999999995</v>
      </c>
      <c r="AI15" s="2">
        <f t="shared" si="33"/>
        <v>25038</v>
      </c>
      <c r="AJ15" s="2">
        <f t="shared" si="27"/>
        <v>31291.733200000002</v>
      </c>
      <c r="AK15" s="1">
        <f t="shared" si="11"/>
        <v>22881.95</v>
      </c>
      <c r="AL15" s="2">
        <f t="shared" si="12"/>
        <v>31291.733200000002</v>
      </c>
      <c r="AM15" s="2">
        <f t="shared" si="13"/>
        <v>23647</v>
      </c>
      <c r="AN15" s="2" t="s">
        <v>63</v>
      </c>
      <c r="AO15" s="2" t="s">
        <v>63</v>
      </c>
      <c r="AP15" s="2" t="s">
        <v>63</v>
      </c>
      <c r="AQ15" s="2">
        <f t="shared" si="38"/>
        <v>21268.39</v>
      </c>
      <c r="AR15" s="1" t="s">
        <v>63</v>
      </c>
      <c r="AS15" s="2">
        <f t="shared" si="14"/>
        <v>16630.131102000003</v>
      </c>
      <c r="AT15" s="2">
        <f t="shared" si="15"/>
        <v>31291.733200000002</v>
      </c>
      <c r="AU15" s="1">
        <v>26551.509543000004</v>
      </c>
      <c r="AV15" s="2">
        <f t="shared" si="28"/>
        <v>18293.144212200004</v>
      </c>
      <c r="AW15" s="2">
        <f t="shared" si="16"/>
        <v>31291.733200000002</v>
      </c>
      <c r="AX15" s="1">
        <f t="shared" si="39"/>
        <v>28863.25</v>
      </c>
      <c r="AY15" s="2">
        <f t="shared" si="40"/>
        <v>22395.1</v>
      </c>
      <c r="AZ15" s="1">
        <v>0</v>
      </c>
      <c r="BA15" s="1">
        <v>0</v>
      </c>
      <c r="BB15" s="1">
        <v>0</v>
      </c>
      <c r="BC15" s="2">
        <f t="shared" si="29"/>
        <v>30602</v>
      </c>
      <c r="BD15" s="2">
        <f t="shared" si="30"/>
        <v>34775</v>
      </c>
      <c r="BE15" s="2">
        <f t="shared" si="31"/>
        <v>26429</v>
      </c>
      <c r="BF15" s="2">
        <f t="shared" si="17"/>
        <v>19126.25</v>
      </c>
      <c r="BG15" s="2">
        <f t="shared" si="18"/>
        <v>31291.733200000002</v>
      </c>
      <c r="BH15" s="2">
        <f t="shared" si="19"/>
        <v>29727.146540000002</v>
      </c>
      <c r="BI15" s="1">
        <v>0</v>
      </c>
      <c r="BJ15" s="1">
        <v>0</v>
      </c>
      <c r="BK15" s="2">
        <f t="shared" si="20"/>
        <v>29727.146540000002</v>
      </c>
      <c r="BL15" s="2">
        <f t="shared" si="21"/>
        <v>31291.733200000002</v>
      </c>
      <c r="BM15" s="1">
        <f t="shared" si="22"/>
        <v>30741.1</v>
      </c>
      <c r="BN15" s="2">
        <f t="shared" si="23"/>
        <v>31291.733200000002</v>
      </c>
      <c r="BO15" s="2">
        <f>MIN(N15:BN15:BN15)</f>
        <v>0</v>
      </c>
      <c r="BP15" s="2">
        <f t="shared" si="24"/>
        <v>34775</v>
      </c>
      <c r="BQ15" s="22"/>
    </row>
    <row r="16" spans="1:69" ht="20.100000000000001" customHeight="1" x14ac:dyDescent="0.2">
      <c r="A16" s="17">
        <f t="shared" si="41"/>
        <v>14</v>
      </c>
      <c r="B16" s="18" t="s">
        <v>63</v>
      </c>
      <c r="C16" s="18" t="s">
        <v>64</v>
      </c>
      <c r="D16" s="19" t="s">
        <v>80</v>
      </c>
      <c r="E16" s="18" t="s">
        <v>66</v>
      </c>
      <c r="F16" s="8">
        <v>50580.92</v>
      </c>
      <c r="G16" s="18" t="s">
        <v>64</v>
      </c>
      <c r="H16" s="12">
        <v>0</v>
      </c>
      <c r="I16" s="20">
        <v>15.37</v>
      </c>
      <c r="J16" s="2">
        <v>33750</v>
      </c>
      <c r="K16" s="21" t="s">
        <v>67</v>
      </c>
      <c r="L16" s="1">
        <v>26989.531999999999</v>
      </c>
      <c r="M16" s="2">
        <v>18375.637314</v>
      </c>
      <c r="N16" s="1">
        <f t="shared" si="0"/>
        <v>26216.609</v>
      </c>
      <c r="O16" s="2">
        <f t="shared" si="1"/>
        <v>26989.531999999999</v>
      </c>
      <c r="P16" s="2">
        <f t="shared" si="32"/>
        <v>28572.829999999998</v>
      </c>
      <c r="Q16" s="1">
        <v>0</v>
      </c>
      <c r="R16" s="1">
        <v>0</v>
      </c>
      <c r="S16" s="2">
        <f t="shared" si="26"/>
        <v>26989.531999999999</v>
      </c>
      <c r="T16" s="1">
        <f t="shared" si="34"/>
        <v>26774.539999999997</v>
      </c>
      <c r="U16" s="1"/>
      <c r="V16" s="1">
        <f t="shared" si="35"/>
        <v>26221.219999999998</v>
      </c>
      <c r="W16" s="2">
        <f t="shared" si="2"/>
        <v>26989.531999999999</v>
      </c>
      <c r="X16" s="2" t="s">
        <v>63</v>
      </c>
      <c r="Y16" s="2">
        <f t="shared" si="3"/>
        <v>26989.531999999999</v>
      </c>
      <c r="Z16" s="1">
        <f t="shared" si="36"/>
        <v>23377.77</v>
      </c>
      <c r="AA16" s="2">
        <f t="shared" si="37"/>
        <v>26159.739999999998</v>
      </c>
      <c r="AB16" s="1">
        <f t="shared" si="4"/>
        <v>24290.578799999999</v>
      </c>
      <c r="AC16" s="2">
        <f t="shared" si="5"/>
        <v>26989.531999999999</v>
      </c>
      <c r="AD16" s="1">
        <f t="shared" si="6"/>
        <v>28339.008600000001</v>
      </c>
      <c r="AE16" s="2">
        <f t="shared" si="7"/>
        <v>26989.531999999999</v>
      </c>
      <c r="AF16" s="2">
        <f t="shared" si="8"/>
        <v>26989.531999999999</v>
      </c>
      <c r="AG16" s="2">
        <f t="shared" si="9"/>
        <v>24830.369439999999</v>
      </c>
      <c r="AH16" s="1">
        <f t="shared" si="10"/>
        <v>35406.643999999993</v>
      </c>
      <c r="AI16" s="2">
        <f t="shared" si="33"/>
        <v>27666</v>
      </c>
      <c r="AJ16" s="2">
        <f t="shared" si="27"/>
        <v>26989.531999999999</v>
      </c>
      <c r="AK16" s="1">
        <f t="shared" si="11"/>
        <v>25283.649999999998</v>
      </c>
      <c r="AL16" s="2">
        <f t="shared" si="12"/>
        <v>26989.531999999999</v>
      </c>
      <c r="AM16" s="2">
        <f t="shared" si="13"/>
        <v>26129</v>
      </c>
      <c r="AN16" s="2" t="s">
        <v>63</v>
      </c>
      <c r="AO16" s="2" t="s">
        <v>63</v>
      </c>
      <c r="AP16" s="2" t="s">
        <v>63</v>
      </c>
      <c r="AQ16" s="2">
        <f t="shared" si="38"/>
        <v>23500.73</v>
      </c>
      <c r="AR16" s="1" t="s">
        <v>63</v>
      </c>
      <c r="AS16" s="2">
        <f t="shared" si="14"/>
        <v>18375.637314</v>
      </c>
      <c r="AT16" s="2">
        <f t="shared" si="15"/>
        <v>26989.531999999999</v>
      </c>
      <c r="AU16" s="1">
        <v>29338.368201000001</v>
      </c>
      <c r="AV16" s="2">
        <f t="shared" si="28"/>
        <v>20213.201045400001</v>
      </c>
      <c r="AW16" s="2">
        <f t="shared" si="16"/>
        <v>26989.531999999999</v>
      </c>
      <c r="AX16" s="1">
        <f t="shared" si="39"/>
        <v>31892.75</v>
      </c>
      <c r="AY16" s="2">
        <f t="shared" si="40"/>
        <v>24745.699999999997</v>
      </c>
      <c r="AZ16" s="1">
        <v>0</v>
      </c>
      <c r="BA16" s="1">
        <v>0</v>
      </c>
      <c r="BB16" s="1">
        <v>0</v>
      </c>
      <c r="BC16" s="2">
        <f t="shared" si="29"/>
        <v>33814</v>
      </c>
      <c r="BD16" s="2">
        <f t="shared" si="30"/>
        <v>38425</v>
      </c>
      <c r="BE16" s="2">
        <f t="shared" si="31"/>
        <v>29203</v>
      </c>
      <c r="BF16" s="2">
        <f t="shared" si="17"/>
        <v>21133.75</v>
      </c>
      <c r="BG16" s="2">
        <f t="shared" si="18"/>
        <v>26989.531999999999</v>
      </c>
      <c r="BH16" s="2">
        <f t="shared" si="19"/>
        <v>25640.055399999997</v>
      </c>
      <c r="BI16" s="1">
        <v>0</v>
      </c>
      <c r="BJ16" s="1">
        <v>0</v>
      </c>
      <c r="BK16" s="2">
        <f t="shared" si="20"/>
        <v>25640.055399999997</v>
      </c>
      <c r="BL16" s="2">
        <f t="shared" si="21"/>
        <v>26989.531999999999</v>
      </c>
      <c r="BM16" s="1">
        <f t="shared" si="22"/>
        <v>33967.699999999997</v>
      </c>
      <c r="BN16" s="2">
        <f t="shared" si="23"/>
        <v>26989.531999999999</v>
      </c>
      <c r="BO16" s="2">
        <f>MIN(N16:BN16:BN16)</f>
        <v>0</v>
      </c>
      <c r="BP16" s="2">
        <f t="shared" si="24"/>
        <v>38425</v>
      </c>
      <c r="BQ16" s="22"/>
    </row>
    <row r="17" spans="1:69" ht="20.100000000000001" customHeight="1" x14ac:dyDescent="0.2">
      <c r="A17" s="17">
        <f t="shared" si="41"/>
        <v>15</v>
      </c>
      <c r="B17" s="18" t="s">
        <v>63</v>
      </c>
      <c r="C17" s="18" t="s">
        <v>64</v>
      </c>
      <c r="D17" s="19" t="s">
        <v>81</v>
      </c>
      <c r="E17" s="18" t="s">
        <v>66</v>
      </c>
      <c r="F17" s="8">
        <v>44631.77</v>
      </c>
      <c r="G17" s="18" t="s">
        <v>64</v>
      </c>
      <c r="H17" s="12">
        <v>0</v>
      </c>
      <c r="I17" s="20">
        <v>13.32</v>
      </c>
      <c r="J17" s="2">
        <v>29250</v>
      </c>
      <c r="K17" s="21" t="s">
        <v>67</v>
      </c>
      <c r="L17" s="1">
        <v>22072.7016</v>
      </c>
      <c r="M17" s="2">
        <v>15924.755304000002</v>
      </c>
      <c r="N17" s="1">
        <f t="shared" si="0"/>
        <v>22719.924000000003</v>
      </c>
      <c r="O17" s="1">
        <f t="shared" si="1"/>
        <v>22072.7016</v>
      </c>
      <c r="P17" s="2">
        <f t="shared" si="32"/>
        <v>24761.88</v>
      </c>
      <c r="Q17" s="1">
        <v>0</v>
      </c>
      <c r="R17" s="1">
        <v>0</v>
      </c>
      <c r="S17" s="1">
        <f t="shared" si="26"/>
        <v>22072.7016</v>
      </c>
      <c r="T17" s="1">
        <f t="shared" si="34"/>
        <v>23203.439999999999</v>
      </c>
      <c r="U17" s="1"/>
      <c r="V17" s="1">
        <f t="shared" si="35"/>
        <v>22723.920000000002</v>
      </c>
      <c r="W17" s="2">
        <f t="shared" si="2"/>
        <v>22072.7016</v>
      </c>
      <c r="X17" s="2" t="s">
        <v>63</v>
      </c>
      <c r="Y17" s="1">
        <f t="shared" si="3"/>
        <v>22072.7016</v>
      </c>
      <c r="Z17" s="1">
        <f t="shared" si="36"/>
        <v>20259.72</v>
      </c>
      <c r="AA17" s="2">
        <f t="shared" si="37"/>
        <v>22670.639999999999</v>
      </c>
      <c r="AB17" s="1">
        <f t="shared" si="4"/>
        <v>19865.43144</v>
      </c>
      <c r="AC17" s="1">
        <f t="shared" si="5"/>
        <v>22072.7016</v>
      </c>
      <c r="AD17" s="1">
        <f t="shared" si="6"/>
        <v>23176.33668</v>
      </c>
      <c r="AE17" s="2">
        <f t="shared" si="7"/>
        <v>22072.7016</v>
      </c>
      <c r="AF17" s="1">
        <f t="shared" si="8"/>
        <v>22072.7016</v>
      </c>
      <c r="AG17" s="1">
        <f t="shared" si="9"/>
        <v>20306.885472000002</v>
      </c>
      <c r="AH17" s="1">
        <f t="shared" si="10"/>
        <v>31242.238999999994</v>
      </c>
      <c r="AI17" s="2">
        <f t="shared" si="33"/>
        <v>23976</v>
      </c>
      <c r="AJ17" s="2">
        <f t="shared" si="27"/>
        <v>22072.7016</v>
      </c>
      <c r="AK17" s="1">
        <f t="shared" si="11"/>
        <v>21911.4</v>
      </c>
      <c r="AL17" s="1">
        <f t="shared" si="12"/>
        <v>22072.7016</v>
      </c>
      <c r="AM17" s="1">
        <f t="shared" si="13"/>
        <v>22644</v>
      </c>
      <c r="AN17" s="2" t="s">
        <v>63</v>
      </c>
      <c r="AO17" s="2" t="s">
        <v>63</v>
      </c>
      <c r="AP17" s="2" t="s">
        <v>63</v>
      </c>
      <c r="AQ17" s="1">
        <f t="shared" si="38"/>
        <v>20366.28</v>
      </c>
      <c r="AR17" s="1" t="s">
        <v>63</v>
      </c>
      <c r="AS17" s="2">
        <f t="shared" si="14"/>
        <v>15924.755304000002</v>
      </c>
      <c r="AT17" s="1">
        <f t="shared" si="15"/>
        <v>22072.7016</v>
      </c>
      <c r="AU17" s="1">
        <v>25425.313236000005</v>
      </c>
      <c r="AV17" s="2">
        <f t="shared" si="28"/>
        <v>17517.230834400005</v>
      </c>
      <c r="AW17" s="1">
        <f t="shared" si="16"/>
        <v>22072.7016</v>
      </c>
      <c r="AX17" s="1">
        <f t="shared" si="39"/>
        <v>27639</v>
      </c>
      <c r="AY17" s="1">
        <f t="shared" si="40"/>
        <v>21445.200000000001</v>
      </c>
      <c r="AZ17" s="1">
        <v>0</v>
      </c>
      <c r="BA17" s="1">
        <v>0</v>
      </c>
      <c r="BB17" s="1">
        <v>0</v>
      </c>
      <c r="BC17" s="2">
        <f t="shared" si="29"/>
        <v>29304</v>
      </c>
      <c r="BD17" s="2">
        <f t="shared" si="30"/>
        <v>33300</v>
      </c>
      <c r="BE17" s="2">
        <f t="shared" si="31"/>
        <v>25308</v>
      </c>
      <c r="BF17" s="1">
        <f t="shared" si="17"/>
        <v>18315</v>
      </c>
      <c r="BG17" s="1">
        <f t="shared" si="18"/>
        <v>22072.7016</v>
      </c>
      <c r="BH17" s="1">
        <f t="shared" si="19"/>
        <v>20969.06652</v>
      </c>
      <c r="BI17" s="1">
        <v>0</v>
      </c>
      <c r="BJ17" s="1">
        <v>0</v>
      </c>
      <c r="BK17" s="1">
        <f t="shared" si="20"/>
        <v>20969.06652</v>
      </c>
      <c r="BL17" s="2">
        <f t="shared" si="21"/>
        <v>22072.7016</v>
      </c>
      <c r="BM17" s="1">
        <f t="shared" si="22"/>
        <v>29437.200000000001</v>
      </c>
      <c r="BN17" s="1">
        <f t="shared" si="23"/>
        <v>22072.7016</v>
      </c>
      <c r="BO17" s="2">
        <f>MIN(N17:BN17:BN17)</f>
        <v>0</v>
      </c>
      <c r="BP17" s="2">
        <f t="shared" si="24"/>
        <v>33300</v>
      </c>
      <c r="BQ17" s="22"/>
    </row>
    <row r="18" spans="1:69" ht="20.100000000000001" customHeight="1" x14ac:dyDescent="0.2">
      <c r="A18" s="17">
        <f t="shared" si="41"/>
        <v>16</v>
      </c>
      <c r="B18" s="18" t="s">
        <v>63</v>
      </c>
      <c r="C18" s="18" t="s">
        <v>64</v>
      </c>
      <c r="D18" s="19" t="s">
        <v>82</v>
      </c>
      <c r="E18" s="18" t="s">
        <v>66</v>
      </c>
      <c r="F18" s="8">
        <v>65284.77</v>
      </c>
      <c r="G18" s="18" t="s">
        <v>64</v>
      </c>
      <c r="H18" s="12">
        <v>0</v>
      </c>
      <c r="I18" s="20">
        <v>14.26</v>
      </c>
      <c r="J18" s="2">
        <v>31500</v>
      </c>
      <c r="K18" s="21" t="s">
        <v>67</v>
      </c>
      <c r="L18" s="1">
        <v>32493.112560000001</v>
      </c>
      <c r="M18" s="2">
        <v>17048.574371999999</v>
      </c>
      <c r="N18" s="1">
        <f t="shared" si="0"/>
        <v>24323.281999999999</v>
      </c>
      <c r="O18" s="2">
        <f t="shared" si="1"/>
        <v>32493.112560000001</v>
      </c>
      <c r="P18" s="2">
        <f t="shared" si="32"/>
        <v>26509.34</v>
      </c>
      <c r="Q18" s="1">
        <v>0</v>
      </c>
      <c r="R18" s="1">
        <v>0</v>
      </c>
      <c r="S18" s="2">
        <f t="shared" si="26"/>
        <v>32493.112560000001</v>
      </c>
      <c r="T18" s="1">
        <f t="shared" si="34"/>
        <v>24840.92</v>
      </c>
      <c r="U18" s="1"/>
      <c r="V18" s="1">
        <f t="shared" si="35"/>
        <v>24327.56</v>
      </c>
      <c r="W18" s="2">
        <f t="shared" si="2"/>
        <v>32493.112560000001</v>
      </c>
      <c r="X18" s="2" t="s">
        <v>63</v>
      </c>
      <c r="Y18" s="2">
        <f t="shared" si="3"/>
        <v>32493.112560000001</v>
      </c>
      <c r="Z18" s="1">
        <f t="shared" si="36"/>
        <v>21689.46</v>
      </c>
      <c r="AA18" s="2">
        <f t="shared" si="37"/>
        <v>24270.52</v>
      </c>
      <c r="AB18" s="1">
        <f t="shared" si="4"/>
        <v>29243.801304000001</v>
      </c>
      <c r="AC18" s="2">
        <f t="shared" si="5"/>
        <v>32493.112560000001</v>
      </c>
      <c r="AD18" s="1">
        <f t="shared" si="6"/>
        <v>34117.768188000002</v>
      </c>
      <c r="AE18" s="2">
        <f t="shared" si="7"/>
        <v>32493.112560000001</v>
      </c>
      <c r="AF18" s="2">
        <f t="shared" si="8"/>
        <v>32493.112560000001</v>
      </c>
      <c r="AG18" s="2">
        <f t="shared" si="9"/>
        <v>29893.663555200004</v>
      </c>
      <c r="AH18" s="1">
        <f t="shared" si="10"/>
        <v>45699.338999999993</v>
      </c>
      <c r="AI18" s="2">
        <f t="shared" si="33"/>
        <v>25668</v>
      </c>
      <c r="AJ18" s="2">
        <f t="shared" si="27"/>
        <v>32493.112560000001</v>
      </c>
      <c r="AK18" s="1">
        <f t="shared" si="11"/>
        <v>23457.7</v>
      </c>
      <c r="AL18" s="2">
        <f t="shared" si="12"/>
        <v>32493.112560000001</v>
      </c>
      <c r="AM18" s="2">
        <f t="shared" si="13"/>
        <v>24242</v>
      </c>
      <c r="AN18" s="2" t="s">
        <v>63</v>
      </c>
      <c r="AO18" s="2" t="s">
        <v>63</v>
      </c>
      <c r="AP18" s="2" t="s">
        <v>63</v>
      </c>
      <c r="AQ18" s="2">
        <f t="shared" si="38"/>
        <v>21803.54</v>
      </c>
      <c r="AR18" s="1" t="s">
        <v>63</v>
      </c>
      <c r="AS18" s="2">
        <f t="shared" si="14"/>
        <v>17048.574371999999</v>
      </c>
      <c r="AT18" s="2">
        <f t="shared" si="15"/>
        <v>32493.112560000001</v>
      </c>
      <c r="AU18" s="1">
        <v>27219.592098000005</v>
      </c>
      <c r="AV18" s="2">
        <f t="shared" si="28"/>
        <v>18753.431809199999</v>
      </c>
      <c r="AW18" s="2">
        <f t="shared" si="16"/>
        <v>32493.112560000001</v>
      </c>
      <c r="AX18" s="1">
        <f t="shared" si="39"/>
        <v>29589.5</v>
      </c>
      <c r="AY18" s="2">
        <f t="shared" si="40"/>
        <v>22958.6</v>
      </c>
      <c r="AZ18" s="1">
        <v>0</v>
      </c>
      <c r="BA18" s="1">
        <v>0</v>
      </c>
      <c r="BB18" s="1">
        <v>0</v>
      </c>
      <c r="BC18" s="2">
        <f t="shared" si="29"/>
        <v>31372</v>
      </c>
      <c r="BD18" s="2">
        <f t="shared" si="30"/>
        <v>35650</v>
      </c>
      <c r="BE18" s="2">
        <f t="shared" si="31"/>
        <v>27094</v>
      </c>
      <c r="BF18" s="2">
        <f t="shared" si="17"/>
        <v>19607.5</v>
      </c>
      <c r="BG18" s="2">
        <f t="shared" si="18"/>
        <v>32493.112560000001</v>
      </c>
      <c r="BH18" s="2">
        <f t="shared" si="19"/>
        <v>30868.456932000001</v>
      </c>
      <c r="BI18" s="1">
        <v>0</v>
      </c>
      <c r="BJ18" s="1">
        <v>0</v>
      </c>
      <c r="BK18" s="2">
        <f t="shared" si="20"/>
        <v>30868.456932000001</v>
      </c>
      <c r="BL18" s="2">
        <f t="shared" si="21"/>
        <v>32493.112560000001</v>
      </c>
      <c r="BM18" s="1">
        <f t="shared" si="22"/>
        <v>31514.6</v>
      </c>
      <c r="BN18" s="2">
        <f t="shared" si="23"/>
        <v>32493.112560000001</v>
      </c>
      <c r="BO18" s="2">
        <f>MIN(N18:BN18:BN18)</f>
        <v>0</v>
      </c>
      <c r="BP18" s="2">
        <f t="shared" si="24"/>
        <v>45699.338999999993</v>
      </c>
      <c r="BQ18" s="22"/>
    </row>
    <row r="19" spans="1:69" ht="20.100000000000001" customHeight="1" x14ac:dyDescent="0.2">
      <c r="A19" s="17">
        <f t="shared" si="41"/>
        <v>17</v>
      </c>
      <c r="B19" s="18" t="s">
        <v>63</v>
      </c>
      <c r="C19" s="18" t="s">
        <v>64</v>
      </c>
      <c r="D19" s="19" t="s">
        <v>83</v>
      </c>
      <c r="E19" s="18" t="s">
        <v>66</v>
      </c>
      <c r="F19" s="8">
        <v>52305.33</v>
      </c>
      <c r="G19" s="18" t="s">
        <v>64</v>
      </c>
      <c r="H19" s="12">
        <v>0</v>
      </c>
      <c r="I19" s="20">
        <v>14.63</v>
      </c>
      <c r="J19" s="2">
        <v>33750</v>
      </c>
      <c r="K19" s="21" t="s">
        <v>67</v>
      </c>
      <c r="L19" s="1">
        <v>26138.245919999998</v>
      </c>
      <c r="M19" s="2">
        <v>17490.928686000003</v>
      </c>
      <c r="N19" s="1">
        <f t="shared" si="0"/>
        <v>24954.391000000003</v>
      </c>
      <c r="O19" s="2">
        <f t="shared" si="1"/>
        <v>26138.245919999998</v>
      </c>
      <c r="P19" s="2">
        <f t="shared" si="32"/>
        <v>27197.170000000002</v>
      </c>
      <c r="Q19" s="1">
        <v>0</v>
      </c>
      <c r="R19" s="1">
        <v>0</v>
      </c>
      <c r="S19" s="2">
        <f t="shared" si="26"/>
        <v>26138.245919999998</v>
      </c>
      <c r="T19" s="1">
        <f t="shared" si="34"/>
        <v>25485.460000000003</v>
      </c>
      <c r="U19" s="1"/>
      <c r="V19" s="1">
        <f t="shared" si="35"/>
        <v>24958.780000000002</v>
      </c>
      <c r="W19" s="2">
        <f t="shared" si="2"/>
        <v>26138.245919999998</v>
      </c>
      <c r="X19" s="2" t="s">
        <v>63</v>
      </c>
      <c r="Y19" s="2">
        <f t="shared" si="3"/>
        <v>26138.245919999998</v>
      </c>
      <c r="Z19" s="1">
        <f t="shared" si="36"/>
        <v>22252.23</v>
      </c>
      <c r="AA19" s="2">
        <f t="shared" si="37"/>
        <v>24900.260000000002</v>
      </c>
      <c r="AB19" s="1">
        <f t="shared" si="4"/>
        <v>23524.421327999997</v>
      </c>
      <c r="AC19" s="2">
        <f t="shared" si="5"/>
        <v>26138.245919999998</v>
      </c>
      <c r="AD19" s="1">
        <f t="shared" si="6"/>
        <v>27445.158216</v>
      </c>
      <c r="AE19" s="2">
        <f t="shared" si="7"/>
        <v>26138.245919999998</v>
      </c>
      <c r="AF19" s="2">
        <f t="shared" si="8"/>
        <v>26138.245919999998</v>
      </c>
      <c r="AG19" s="2">
        <f t="shared" si="9"/>
        <v>24047.186246400001</v>
      </c>
      <c r="AH19" s="1">
        <f t="shared" si="10"/>
        <v>36613.731</v>
      </c>
      <c r="AI19" s="2">
        <f t="shared" si="33"/>
        <v>26334</v>
      </c>
      <c r="AJ19" s="2">
        <f t="shared" si="27"/>
        <v>26138.245919999998</v>
      </c>
      <c r="AK19" s="1">
        <f t="shared" si="11"/>
        <v>24066.350000000002</v>
      </c>
      <c r="AL19" s="2">
        <f t="shared" si="12"/>
        <v>26138.245919999998</v>
      </c>
      <c r="AM19" s="2">
        <f t="shared" si="13"/>
        <v>24871</v>
      </c>
      <c r="AN19" s="2" t="s">
        <v>63</v>
      </c>
      <c r="AO19" s="2" t="s">
        <v>63</v>
      </c>
      <c r="AP19" s="2" t="s">
        <v>63</v>
      </c>
      <c r="AQ19" s="2">
        <f t="shared" si="38"/>
        <v>22369.27</v>
      </c>
      <c r="AR19" s="1" t="s">
        <v>63</v>
      </c>
      <c r="AS19" s="2">
        <f t="shared" si="14"/>
        <v>17490.928686000003</v>
      </c>
      <c r="AT19" s="2">
        <f t="shared" si="15"/>
        <v>26138.245919999998</v>
      </c>
      <c r="AU19" s="1">
        <v>27925.850799000003</v>
      </c>
      <c r="AV19" s="2">
        <f t="shared" si="28"/>
        <v>19240.021554600004</v>
      </c>
      <c r="AW19" s="2">
        <f t="shared" si="16"/>
        <v>26138.245919999998</v>
      </c>
      <c r="AX19" s="1">
        <f t="shared" si="39"/>
        <v>30357.25</v>
      </c>
      <c r="AY19" s="2">
        <f t="shared" si="40"/>
        <v>23554.300000000003</v>
      </c>
      <c r="AZ19" s="1">
        <v>0</v>
      </c>
      <c r="BA19" s="1">
        <v>0</v>
      </c>
      <c r="BB19" s="1">
        <v>0</v>
      </c>
      <c r="BC19" s="2">
        <f t="shared" si="29"/>
        <v>32186</v>
      </c>
      <c r="BD19" s="2">
        <f t="shared" si="30"/>
        <v>36575</v>
      </c>
      <c r="BE19" s="2">
        <f t="shared" si="31"/>
        <v>27797</v>
      </c>
      <c r="BF19" s="2">
        <f t="shared" si="17"/>
        <v>20116.25</v>
      </c>
      <c r="BG19" s="2">
        <f t="shared" si="18"/>
        <v>26138.245919999998</v>
      </c>
      <c r="BH19" s="2">
        <f t="shared" si="19"/>
        <v>24831.333623999995</v>
      </c>
      <c r="BI19" s="1">
        <v>0</v>
      </c>
      <c r="BJ19" s="1">
        <v>0</v>
      </c>
      <c r="BK19" s="2">
        <f t="shared" si="20"/>
        <v>24831.333623999995</v>
      </c>
      <c r="BL19" s="2">
        <f t="shared" si="21"/>
        <v>26138.245919999998</v>
      </c>
      <c r="BM19" s="1">
        <f t="shared" si="22"/>
        <v>32332.300000000003</v>
      </c>
      <c r="BN19" s="2">
        <f t="shared" si="23"/>
        <v>26138.245919999998</v>
      </c>
      <c r="BO19" s="2">
        <f>MIN(N19:BN19:BN19)</f>
        <v>0</v>
      </c>
      <c r="BP19" s="2">
        <f t="shared" si="24"/>
        <v>36613.731</v>
      </c>
      <c r="BQ19" s="22"/>
    </row>
    <row r="20" spans="1:69" ht="20.100000000000001" customHeight="1" x14ac:dyDescent="0.2">
      <c r="A20" s="17">
        <f t="shared" si="41"/>
        <v>18</v>
      </c>
      <c r="B20" s="18" t="s">
        <v>63</v>
      </c>
      <c r="C20" s="18" t="s">
        <v>64</v>
      </c>
      <c r="D20" s="19" t="s">
        <v>84</v>
      </c>
      <c r="E20" s="18" t="s">
        <v>66</v>
      </c>
      <c r="F20" s="8">
        <v>58614.17</v>
      </c>
      <c r="G20" s="18" t="s">
        <v>64</v>
      </c>
      <c r="H20" s="12">
        <v>0</v>
      </c>
      <c r="I20" s="20">
        <v>17.850000000000001</v>
      </c>
      <c r="J20" s="2">
        <v>40500</v>
      </c>
      <c r="K20" s="21" t="s">
        <v>67</v>
      </c>
      <c r="L20" s="1">
        <v>30076.871520000001</v>
      </c>
      <c r="M20" s="2">
        <v>21340.606770000002</v>
      </c>
      <c r="N20" s="1">
        <f t="shared" si="0"/>
        <v>30446.745000000003</v>
      </c>
      <c r="O20" s="2">
        <f t="shared" si="1"/>
        <v>30076.871520000001</v>
      </c>
      <c r="P20" s="2">
        <f t="shared" si="32"/>
        <v>33183.15</v>
      </c>
      <c r="Q20" s="1">
        <v>0</v>
      </c>
      <c r="R20" s="1">
        <v>0</v>
      </c>
      <c r="S20" s="2">
        <f t="shared" si="26"/>
        <v>30076.871520000001</v>
      </c>
      <c r="T20" s="1">
        <f>1939*I20</f>
        <v>34611.15</v>
      </c>
      <c r="U20" s="1"/>
      <c r="V20" s="1">
        <f t="shared" si="35"/>
        <v>30452.100000000002</v>
      </c>
      <c r="W20" s="2">
        <f t="shared" si="2"/>
        <v>30076.871520000001</v>
      </c>
      <c r="X20" s="2" t="s">
        <v>63</v>
      </c>
      <c r="Y20" s="2">
        <f t="shared" si="3"/>
        <v>30076.871520000001</v>
      </c>
      <c r="Z20" s="1">
        <f t="shared" si="36"/>
        <v>27149.850000000002</v>
      </c>
      <c r="AA20" s="2">
        <f t="shared" si="37"/>
        <v>30380.7</v>
      </c>
      <c r="AB20" s="1">
        <f t="shared" si="4"/>
        <v>27069.184368000002</v>
      </c>
      <c r="AC20" s="2">
        <f t="shared" si="5"/>
        <v>30076.871520000001</v>
      </c>
      <c r="AD20" s="1">
        <f t="shared" si="6"/>
        <v>31580.715096000004</v>
      </c>
      <c r="AE20" s="2">
        <f t="shared" si="7"/>
        <v>30076.871520000001</v>
      </c>
      <c r="AF20" s="2">
        <f t="shared" si="8"/>
        <v>30076.871520000001</v>
      </c>
      <c r="AG20" s="2">
        <f t="shared" si="9"/>
        <v>27670.721798400002</v>
      </c>
      <c r="AH20" s="1">
        <f t="shared" si="10"/>
        <v>41029.918999999994</v>
      </c>
      <c r="AI20" s="2">
        <f>1800*16+1600*2</f>
        <v>32000</v>
      </c>
      <c r="AJ20" s="2">
        <f t="shared" si="27"/>
        <v>30076.871520000001</v>
      </c>
      <c r="AK20" s="1">
        <f t="shared" si="11"/>
        <v>29363.250000000004</v>
      </c>
      <c r="AL20" s="2">
        <f t="shared" si="12"/>
        <v>30076.871520000001</v>
      </c>
      <c r="AM20" s="2">
        <f t="shared" si="13"/>
        <v>30345.000000000004</v>
      </c>
      <c r="AN20" s="2" t="s">
        <v>63</v>
      </c>
      <c r="AO20" s="2" t="s">
        <v>63</v>
      </c>
      <c r="AP20" s="2" t="s">
        <v>63</v>
      </c>
      <c r="AQ20" s="2">
        <f t="shared" si="38"/>
        <v>27292.65</v>
      </c>
      <c r="AR20" s="1" t="s">
        <v>63</v>
      </c>
      <c r="AS20" s="2">
        <f t="shared" si="14"/>
        <v>21340.606770000002</v>
      </c>
      <c r="AT20" s="2">
        <f t="shared" si="15"/>
        <v>30076.871520000001</v>
      </c>
      <c r="AU20" s="1">
        <v>34072.210305000008</v>
      </c>
      <c r="AV20" s="2">
        <f t="shared" si="28"/>
        <v>23474.667447000003</v>
      </c>
      <c r="AW20" s="2">
        <f t="shared" si="16"/>
        <v>30076.871520000001</v>
      </c>
      <c r="AX20" s="1">
        <f t="shared" si="39"/>
        <v>37038.75</v>
      </c>
      <c r="AY20" s="2">
        <f t="shared" si="40"/>
        <v>28738.500000000004</v>
      </c>
      <c r="AZ20" s="1">
        <v>0</v>
      </c>
      <c r="BA20" s="1">
        <v>0</v>
      </c>
      <c r="BB20" s="1">
        <v>0</v>
      </c>
      <c r="BC20" s="2">
        <f t="shared" si="29"/>
        <v>39270</v>
      </c>
      <c r="BD20" s="2">
        <f t="shared" si="30"/>
        <v>44625</v>
      </c>
      <c r="BE20" s="2">
        <f t="shared" si="31"/>
        <v>33915</v>
      </c>
      <c r="BF20" s="2">
        <f t="shared" si="17"/>
        <v>24543.750000000004</v>
      </c>
      <c r="BG20" s="2">
        <f t="shared" si="18"/>
        <v>30076.871520000001</v>
      </c>
      <c r="BH20" s="2">
        <f t="shared" si="19"/>
        <v>28573.027943999998</v>
      </c>
      <c r="BI20" s="1">
        <v>0</v>
      </c>
      <c r="BJ20" s="1">
        <v>0</v>
      </c>
      <c r="BK20" s="2">
        <f t="shared" si="20"/>
        <v>28573.027943999998</v>
      </c>
      <c r="BL20" s="2">
        <f t="shared" si="21"/>
        <v>30076.871520000001</v>
      </c>
      <c r="BM20" s="1">
        <f t="shared" si="22"/>
        <v>39448.5</v>
      </c>
      <c r="BN20" s="2">
        <f t="shared" si="23"/>
        <v>30076.871520000001</v>
      </c>
      <c r="BO20" s="2">
        <f>MIN(N20:BN20:BN20)</f>
        <v>0</v>
      </c>
      <c r="BP20" s="2">
        <f t="shared" si="24"/>
        <v>44625</v>
      </c>
      <c r="BQ20" s="22"/>
    </row>
    <row r="21" spans="1:69" ht="20.100000000000001" customHeight="1" x14ac:dyDescent="0.2">
      <c r="A21" s="17">
        <f t="shared" si="41"/>
        <v>19</v>
      </c>
      <c r="B21" s="18" t="s">
        <v>63</v>
      </c>
      <c r="C21" s="18" t="s">
        <v>64</v>
      </c>
      <c r="D21" s="19" t="s">
        <v>85</v>
      </c>
      <c r="E21" s="18" t="s">
        <v>66</v>
      </c>
      <c r="F21" s="8">
        <v>87519.54</v>
      </c>
      <c r="G21" s="18" t="s">
        <v>64</v>
      </c>
      <c r="H21" s="12">
        <v>0</v>
      </c>
      <c r="I21" s="20">
        <v>21.44</v>
      </c>
      <c r="J21" s="2">
        <v>47250</v>
      </c>
      <c r="K21" s="21" t="s">
        <v>67</v>
      </c>
      <c r="L21" s="1">
        <v>42133.012000000002</v>
      </c>
      <c r="M21" s="2">
        <v>25632.639168000002</v>
      </c>
      <c r="N21" s="1">
        <f t="shared" si="0"/>
        <v>36570.208000000006</v>
      </c>
      <c r="O21" s="2">
        <f t="shared" si="1"/>
        <v>42133.012000000002</v>
      </c>
      <c r="P21" s="2">
        <f t="shared" si="32"/>
        <v>39856.959999999999</v>
      </c>
      <c r="Q21" s="1">
        <v>0</v>
      </c>
      <c r="R21" s="1">
        <v>0</v>
      </c>
      <c r="S21" s="2">
        <f t="shared" si="26"/>
        <v>42133.012000000002</v>
      </c>
      <c r="T21" s="1">
        <f>1939*I21</f>
        <v>41572.160000000003</v>
      </c>
      <c r="U21" s="1"/>
      <c r="V21" s="1">
        <f t="shared" si="35"/>
        <v>36576.639999999999</v>
      </c>
      <c r="W21" s="2">
        <f t="shared" si="2"/>
        <v>42133.012000000002</v>
      </c>
      <c r="X21" s="2" t="s">
        <v>63</v>
      </c>
      <c r="Y21" s="2">
        <f t="shared" si="3"/>
        <v>42133.012000000002</v>
      </c>
      <c r="Z21" s="1">
        <f>1554*I21</f>
        <v>33317.760000000002</v>
      </c>
      <c r="AA21" s="2">
        <f>1851*I21</f>
        <v>39685.440000000002</v>
      </c>
      <c r="AB21" s="1">
        <f t="shared" si="4"/>
        <v>37919.710800000001</v>
      </c>
      <c r="AC21" s="2">
        <f t="shared" si="5"/>
        <v>42133.012000000002</v>
      </c>
      <c r="AD21" s="1">
        <f t="shared" si="6"/>
        <v>44239.662600000003</v>
      </c>
      <c r="AE21" s="2">
        <f t="shared" si="7"/>
        <v>42133.012000000002</v>
      </c>
      <c r="AF21" s="2">
        <f t="shared" si="8"/>
        <v>42133.012000000002</v>
      </c>
      <c r="AG21" s="2">
        <f t="shared" si="9"/>
        <v>38762.371040000005</v>
      </c>
      <c r="AH21" s="1">
        <f t="shared" si="10"/>
        <v>61263.677999999993</v>
      </c>
      <c r="AI21" s="2">
        <f>1800*16+1600*5</f>
        <v>36800</v>
      </c>
      <c r="AJ21" s="2">
        <f t="shared" si="27"/>
        <v>42133.012000000002</v>
      </c>
      <c r="AK21" s="1">
        <f t="shared" si="11"/>
        <v>35268.800000000003</v>
      </c>
      <c r="AL21" s="2">
        <f t="shared" si="12"/>
        <v>42133.012000000002</v>
      </c>
      <c r="AM21" s="2">
        <f t="shared" si="13"/>
        <v>36448</v>
      </c>
      <c r="AN21" s="2" t="s">
        <v>63</v>
      </c>
      <c r="AO21" s="2" t="s">
        <v>63</v>
      </c>
      <c r="AP21" s="2" t="s">
        <v>63</v>
      </c>
      <c r="AQ21" s="2">
        <f>1665*I21</f>
        <v>35697.599999999999</v>
      </c>
      <c r="AR21" s="1" t="s">
        <v>63</v>
      </c>
      <c r="AS21" s="2">
        <f t="shared" si="14"/>
        <v>25632.639168000002</v>
      </c>
      <c r="AT21" s="2">
        <f t="shared" si="15"/>
        <v>42133.012000000002</v>
      </c>
      <c r="AU21" s="1">
        <v>40924.828512000007</v>
      </c>
      <c r="AV21" s="2">
        <f t="shared" si="28"/>
        <v>28195.903084800004</v>
      </c>
      <c r="AW21" s="2">
        <f t="shared" si="16"/>
        <v>42133.012000000002</v>
      </c>
      <c r="AX21" s="1">
        <f>2300*I21</f>
        <v>49312</v>
      </c>
      <c r="AY21" s="2">
        <f>1730*I21</f>
        <v>37091.200000000004</v>
      </c>
      <c r="AZ21" s="1">
        <v>0</v>
      </c>
      <c r="BA21" s="1">
        <v>0</v>
      </c>
      <c r="BB21" s="1">
        <v>0</v>
      </c>
      <c r="BC21" s="2">
        <f t="shared" si="29"/>
        <v>47168</v>
      </c>
      <c r="BD21" s="2">
        <f t="shared" si="30"/>
        <v>53600</v>
      </c>
      <c r="BE21" s="2">
        <f t="shared" si="31"/>
        <v>40736</v>
      </c>
      <c r="BF21" s="2">
        <f t="shared" si="17"/>
        <v>29480</v>
      </c>
      <c r="BG21" s="2">
        <f t="shared" si="18"/>
        <v>42133.012000000002</v>
      </c>
      <c r="BH21" s="2">
        <f t="shared" si="19"/>
        <v>40026.361400000002</v>
      </c>
      <c r="BI21" s="1">
        <v>0</v>
      </c>
      <c r="BJ21" s="1">
        <v>0</v>
      </c>
      <c r="BK21" s="2">
        <f t="shared" si="20"/>
        <v>40026.361400000002</v>
      </c>
      <c r="BL21" s="2">
        <f t="shared" si="21"/>
        <v>42133.012000000002</v>
      </c>
      <c r="BM21" s="1">
        <f t="shared" si="22"/>
        <v>47382.400000000001</v>
      </c>
      <c r="BN21" s="2">
        <f t="shared" si="23"/>
        <v>42133.012000000002</v>
      </c>
      <c r="BO21" s="2">
        <f>MIN(N21:BN21:BN21)</f>
        <v>0</v>
      </c>
      <c r="BP21" s="2">
        <f t="shared" si="24"/>
        <v>61263.677999999993</v>
      </c>
      <c r="BQ21" s="22"/>
    </row>
    <row r="22" spans="1:69" ht="20.100000000000001" customHeight="1" x14ac:dyDescent="0.2">
      <c r="A22" s="17">
        <f t="shared" si="41"/>
        <v>20</v>
      </c>
      <c r="B22" s="18" t="s">
        <v>63</v>
      </c>
      <c r="C22" s="18" t="s">
        <v>64</v>
      </c>
      <c r="D22" s="19" t="s">
        <v>86</v>
      </c>
      <c r="E22" s="18" t="s">
        <v>66</v>
      </c>
      <c r="F22" s="8">
        <v>62375.040000000001</v>
      </c>
      <c r="G22" s="18" t="s">
        <v>64</v>
      </c>
      <c r="H22" s="12">
        <v>0</v>
      </c>
      <c r="I22" s="20">
        <v>18.809999999999999</v>
      </c>
      <c r="J22" s="2">
        <v>42750</v>
      </c>
      <c r="K22" s="21" t="s">
        <v>67</v>
      </c>
      <c r="L22" s="1">
        <v>33669.34592</v>
      </c>
      <c r="M22" s="2">
        <v>22488.336882</v>
      </c>
      <c r="N22" s="1">
        <f t="shared" si="0"/>
        <v>32084.216999999997</v>
      </c>
      <c r="O22" s="2">
        <f t="shared" si="1"/>
        <v>33669.34592</v>
      </c>
      <c r="P22" s="2">
        <f t="shared" si="32"/>
        <v>34967.79</v>
      </c>
      <c r="Q22" s="1">
        <v>0</v>
      </c>
      <c r="R22" s="1">
        <v>0</v>
      </c>
      <c r="S22" s="2">
        <f t="shared" si="26"/>
        <v>33669.34592</v>
      </c>
      <c r="T22" s="1">
        <f>1813*I22</f>
        <v>34102.53</v>
      </c>
      <c r="U22" s="1"/>
      <c r="V22" s="1">
        <f>1706*I22</f>
        <v>32089.859999999997</v>
      </c>
      <c r="W22" s="2">
        <f t="shared" si="2"/>
        <v>33669.34592</v>
      </c>
      <c r="X22" s="2" t="s">
        <v>63</v>
      </c>
      <c r="Y22" s="2">
        <f t="shared" si="3"/>
        <v>33669.34592</v>
      </c>
      <c r="Z22" s="1">
        <f>1521*I22</f>
        <v>28610.01</v>
      </c>
      <c r="AA22" s="2">
        <f>1702*I22</f>
        <v>32014.62</v>
      </c>
      <c r="AB22" s="1">
        <f t="shared" si="4"/>
        <v>30302.411328000002</v>
      </c>
      <c r="AC22" s="2">
        <f t="shared" si="5"/>
        <v>33669.34592</v>
      </c>
      <c r="AD22" s="1">
        <f t="shared" si="6"/>
        <v>35352.813216000002</v>
      </c>
      <c r="AE22" s="2">
        <f t="shared" si="7"/>
        <v>33669.34592</v>
      </c>
      <c r="AF22" s="2">
        <f t="shared" si="8"/>
        <v>33669.34592</v>
      </c>
      <c r="AG22" s="2">
        <f t="shared" si="9"/>
        <v>30975.798246400002</v>
      </c>
      <c r="AH22" s="1">
        <f t="shared" si="10"/>
        <v>43662.527999999998</v>
      </c>
      <c r="AI22" s="2">
        <f>1800*16+1600*3</f>
        <v>33600</v>
      </c>
      <c r="AJ22" s="2">
        <f t="shared" si="27"/>
        <v>33669.34592</v>
      </c>
      <c r="AK22" s="1">
        <f t="shared" si="11"/>
        <v>30942.449999999997</v>
      </c>
      <c r="AL22" s="2">
        <f t="shared" si="12"/>
        <v>33669.34592</v>
      </c>
      <c r="AM22" s="2">
        <f t="shared" si="13"/>
        <v>31976.999999999996</v>
      </c>
      <c r="AN22" s="2" t="s">
        <v>63</v>
      </c>
      <c r="AO22" s="2" t="s">
        <v>63</v>
      </c>
      <c r="AP22" s="2" t="s">
        <v>63</v>
      </c>
      <c r="AQ22" s="2">
        <f>1529*I22</f>
        <v>28760.489999999998</v>
      </c>
      <c r="AR22" s="1" t="s">
        <v>63</v>
      </c>
      <c r="AS22" s="2">
        <f t="shared" si="14"/>
        <v>22488.336882</v>
      </c>
      <c r="AT22" s="2">
        <f t="shared" si="15"/>
        <v>33669.34592</v>
      </c>
      <c r="AU22" s="1">
        <v>35904.665312999998</v>
      </c>
      <c r="AV22" s="2">
        <f t="shared" si="28"/>
        <v>24737.1705702</v>
      </c>
      <c r="AW22" s="2">
        <f t="shared" si="16"/>
        <v>33669.34592</v>
      </c>
      <c r="AX22" s="1">
        <f>2075*I22</f>
        <v>39030.75</v>
      </c>
      <c r="AY22" s="2">
        <f>1700*I22</f>
        <v>31976.999999999996</v>
      </c>
      <c r="AZ22" s="1">
        <v>0</v>
      </c>
      <c r="BA22" s="1">
        <v>0</v>
      </c>
      <c r="BB22" s="1">
        <v>0</v>
      </c>
      <c r="BC22" s="2">
        <f t="shared" si="29"/>
        <v>41382</v>
      </c>
      <c r="BD22" s="2">
        <f t="shared" si="30"/>
        <v>47025</v>
      </c>
      <c r="BE22" s="2">
        <f t="shared" si="31"/>
        <v>35739</v>
      </c>
      <c r="BF22" s="2">
        <f t="shared" si="17"/>
        <v>25863.75</v>
      </c>
      <c r="BG22" s="2">
        <f t="shared" si="18"/>
        <v>33669.34592</v>
      </c>
      <c r="BH22" s="2">
        <f t="shared" si="19"/>
        <v>31985.878623999997</v>
      </c>
      <c r="BI22" s="1">
        <v>0</v>
      </c>
      <c r="BJ22" s="1">
        <v>0</v>
      </c>
      <c r="BK22" s="2">
        <f t="shared" si="20"/>
        <v>31985.878623999997</v>
      </c>
      <c r="BL22" s="2">
        <f t="shared" si="21"/>
        <v>33669.34592</v>
      </c>
      <c r="BM22" s="1">
        <f t="shared" si="22"/>
        <v>41570.1</v>
      </c>
      <c r="BN22" s="2">
        <f t="shared" si="23"/>
        <v>33669.34592</v>
      </c>
      <c r="BO22" s="2">
        <f>MIN(N22:BN22:BN22)</f>
        <v>0</v>
      </c>
      <c r="BP22" s="2">
        <f t="shared" si="24"/>
        <v>47025</v>
      </c>
      <c r="BQ22" s="22"/>
    </row>
    <row r="23" spans="1:69" ht="20.100000000000001" customHeight="1" x14ac:dyDescent="0.2">
      <c r="A23" s="17">
        <f t="shared" si="41"/>
        <v>21</v>
      </c>
      <c r="B23" s="18" t="s">
        <v>63</v>
      </c>
      <c r="C23" s="18" t="s">
        <v>64</v>
      </c>
      <c r="D23" s="19" t="s">
        <v>87</v>
      </c>
      <c r="E23" s="18" t="s">
        <v>66</v>
      </c>
      <c r="F23" s="8">
        <v>54286.94</v>
      </c>
      <c r="G23" s="18" t="s">
        <v>64</v>
      </c>
      <c r="H23" s="12">
        <v>0</v>
      </c>
      <c r="I23" s="20">
        <v>17.53</v>
      </c>
      <c r="J23" s="2">
        <v>40500</v>
      </c>
      <c r="K23" s="21" t="s">
        <v>67</v>
      </c>
      <c r="L23" s="1">
        <v>29813.473520000003</v>
      </c>
      <c r="M23" s="2">
        <v>20958.030066000003</v>
      </c>
      <c r="N23" s="1">
        <f t="shared" si="0"/>
        <v>29900.921000000002</v>
      </c>
      <c r="O23" s="2">
        <f t="shared" si="1"/>
        <v>29813.473520000003</v>
      </c>
      <c r="P23" s="2">
        <f t="shared" si="32"/>
        <v>32588.27</v>
      </c>
      <c r="Q23" s="1">
        <v>0</v>
      </c>
      <c r="R23" s="1">
        <v>0</v>
      </c>
      <c r="S23" s="2">
        <f t="shared" si="26"/>
        <v>29813.473520000003</v>
      </c>
      <c r="T23" s="1">
        <f>1813*I23</f>
        <v>31781.890000000003</v>
      </c>
      <c r="U23" s="1"/>
      <c r="V23" s="1">
        <f>1706*I23</f>
        <v>29906.18</v>
      </c>
      <c r="W23" s="2">
        <f t="shared" si="2"/>
        <v>29813.473520000003</v>
      </c>
      <c r="X23" s="2" t="s">
        <v>63</v>
      </c>
      <c r="Y23" s="2">
        <f t="shared" si="3"/>
        <v>29813.473520000003</v>
      </c>
      <c r="Z23" s="1">
        <f>1521*I23</f>
        <v>26663.13</v>
      </c>
      <c r="AA23" s="2">
        <f>1702*I23</f>
        <v>29836.06</v>
      </c>
      <c r="AB23" s="1">
        <f t="shared" si="4"/>
        <v>26832.126168000003</v>
      </c>
      <c r="AC23" s="2">
        <f t="shared" si="5"/>
        <v>29813.473520000003</v>
      </c>
      <c r="AD23" s="1">
        <f t="shared" si="6"/>
        <v>31304.147196000005</v>
      </c>
      <c r="AE23" s="2">
        <f t="shared" si="7"/>
        <v>29813.473520000003</v>
      </c>
      <c r="AF23" s="2">
        <f t="shared" si="8"/>
        <v>29813.473520000003</v>
      </c>
      <c r="AG23" s="2">
        <f t="shared" si="9"/>
        <v>27428.395638400005</v>
      </c>
      <c r="AH23" s="1">
        <f t="shared" si="10"/>
        <v>38000.858</v>
      </c>
      <c r="AI23" s="2">
        <f>1800*16+1600*2</f>
        <v>32000</v>
      </c>
      <c r="AJ23" s="2">
        <f t="shared" si="27"/>
        <v>29813.473520000003</v>
      </c>
      <c r="AK23" s="1">
        <f t="shared" si="11"/>
        <v>28836.850000000002</v>
      </c>
      <c r="AL23" s="2">
        <f t="shared" si="12"/>
        <v>29813.473520000003</v>
      </c>
      <c r="AM23" s="2">
        <f t="shared" si="13"/>
        <v>29801.000000000004</v>
      </c>
      <c r="AN23" s="2" t="s">
        <v>63</v>
      </c>
      <c r="AO23" s="2" t="s">
        <v>63</v>
      </c>
      <c r="AP23" s="2" t="s">
        <v>63</v>
      </c>
      <c r="AQ23" s="2">
        <f>1529*I23</f>
        <v>26803.370000000003</v>
      </c>
      <c r="AR23" s="1" t="s">
        <v>63</v>
      </c>
      <c r="AS23" s="2">
        <f t="shared" si="14"/>
        <v>20958.030066000003</v>
      </c>
      <c r="AT23" s="2">
        <f t="shared" si="15"/>
        <v>29813.473520000003</v>
      </c>
      <c r="AU23" s="1">
        <v>33461.391969000011</v>
      </c>
      <c r="AV23" s="2">
        <f t="shared" si="28"/>
        <v>23053.833072600006</v>
      </c>
      <c r="AW23" s="2">
        <f t="shared" si="16"/>
        <v>29813.473520000003</v>
      </c>
      <c r="AX23" s="1">
        <f>2075*I23</f>
        <v>36374.75</v>
      </c>
      <c r="AY23" s="2">
        <f>1700*I23</f>
        <v>29801.000000000004</v>
      </c>
      <c r="AZ23" s="1">
        <v>0</v>
      </c>
      <c r="BA23" s="1">
        <v>0</v>
      </c>
      <c r="BB23" s="1">
        <v>0</v>
      </c>
      <c r="BC23" s="2">
        <f t="shared" si="29"/>
        <v>38566</v>
      </c>
      <c r="BD23" s="2">
        <f t="shared" si="30"/>
        <v>43825</v>
      </c>
      <c r="BE23" s="2">
        <f t="shared" si="31"/>
        <v>33307</v>
      </c>
      <c r="BF23" s="2">
        <f t="shared" si="17"/>
        <v>24103.75</v>
      </c>
      <c r="BG23" s="2">
        <f t="shared" si="18"/>
        <v>29813.473520000003</v>
      </c>
      <c r="BH23" s="2">
        <f t="shared" si="19"/>
        <v>28322.799844000001</v>
      </c>
      <c r="BI23" s="1">
        <v>0</v>
      </c>
      <c r="BJ23" s="1">
        <v>0</v>
      </c>
      <c r="BK23" s="2">
        <f t="shared" si="20"/>
        <v>28322.799844000001</v>
      </c>
      <c r="BL23" s="2">
        <f t="shared" si="21"/>
        <v>29813.473520000003</v>
      </c>
      <c r="BM23" s="1">
        <f t="shared" si="22"/>
        <v>38741.300000000003</v>
      </c>
      <c r="BN23" s="2">
        <f t="shared" si="23"/>
        <v>29813.473520000003</v>
      </c>
      <c r="BO23" s="2">
        <f>MIN(N23:BN23:BN23)</f>
        <v>0</v>
      </c>
      <c r="BP23" s="2">
        <f t="shared" si="24"/>
        <v>43825</v>
      </c>
      <c r="BQ23" s="22"/>
    </row>
    <row r="24" spans="1:69" ht="20.100000000000001" customHeight="1" x14ac:dyDescent="0.2">
      <c r="A24" s="17">
        <f t="shared" si="41"/>
        <v>22</v>
      </c>
      <c r="B24" s="24">
        <v>99243</v>
      </c>
      <c r="C24" s="18" t="s">
        <v>88</v>
      </c>
      <c r="D24" s="19" t="s">
        <v>89</v>
      </c>
      <c r="E24" s="18" t="s">
        <v>90</v>
      </c>
      <c r="F24" s="9">
        <v>0</v>
      </c>
      <c r="G24" s="25" t="s">
        <v>88</v>
      </c>
      <c r="H24" s="12">
        <v>0</v>
      </c>
      <c r="I24" s="24">
        <v>0</v>
      </c>
      <c r="J24" s="2">
        <v>0</v>
      </c>
      <c r="K24" s="21" t="s">
        <v>91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f t="shared" si="27"/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f>L24</f>
        <v>0</v>
      </c>
      <c r="BD24" s="2">
        <f>L24</f>
        <v>0</v>
      </c>
      <c r="BE24" s="2">
        <f>L24</f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f>MIN(N24:BN24:BN24)</f>
        <v>0</v>
      </c>
      <c r="BP24" s="2">
        <f t="shared" si="24"/>
        <v>0</v>
      </c>
      <c r="BQ24" s="22"/>
    </row>
    <row r="25" spans="1:69" ht="20.100000000000001" customHeight="1" x14ac:dyDescent="0.2">
      <c r="A25" s="17">
        <f t="shared" si="41"/>
        <v>23</v>
      </c>
      <c r="B25" s="24">
        <v>99244</v>
      </c>
      <c r="C25" s="18" t="s">
        <v>88</v>
      </c>
      <c r="D25" s="19" t="s">
        <v>92</v>
      </c>
      <c r="E25" s="18" t="s">
        <v>90</v>
      </c>
      <c r="F25" s="9">
        <v>0</v>
      </c>
      <c r="G25" s="25" t="s">
        <v>88</v>
      </c>
      <c r="H25" s="12">
        <v>0</v>
      </c>
      <c r="I25" s="24">
        <v>0</v>
      </c>
      <c r="J25" s="2">
        <v>0</v>
      </c>
      <c r="K25" s="21" t="s">
        <v>91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f t="shared" si="27"/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f t="shared" ref="BC25:BC33" si="42">L25</f>
        <v>0</v>
      </c>
      <c r="BD25" s="2">
        <f t="shared" ref="BD25:BD33" si="43">L25</f>
        <v>0</v>
      </c>
      <c r="BE25" s="2">
        <f t="shared" ref="BE25:BE33" si="44">L25</f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f>MIN(N25:BN25:BN25)</f>
        <v>0</v>
      </c>
      <c r="BP25" s="2">
        <f t="shared" si="24"/>
        <v>0</v>
      </c>
      <c r="BQ25" s="22"/>
    </row>
    <row r="26" spans="1:69" ht="20.100000000000001" customHeight="1" x14ac:dyDescent="0.2">
      <c r="A26" s="17">
        <f t="shared" si="41"/>
        <v>24</v>
      </c>
      <c r="B26" s="24">
        <v>99385</v>
      </c>
      <c r="C26" s="18" t="s">
        <v>88</v>
      </c>
      <c r="D26" s="19" t="s">
        <v>93</v>
      </c>
      <c r="E26" s="18" t="s">
        <v>90</v>
      </c>
      <c r="F26" s="9">
        <v>0</v>
      </c>
      <c r="G26" s="25" t="s">
        <v>88</v>
      </c>
      <c r="H26" s="12">
        <v>0</v>
      </c>
      <c r="I26" s="24">
        <v>0</v>
      </c>
      <c r="J26" s="2">
        <v>0</v>
      </c>
      <c r="K26" s="21" t="s">
        <v>91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f t="shared" si="27"/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f t="shared" si="42"/>
        <v>0</v>
      </c>
      <c r="BD26" s="2">
        <f t="shared" si="43"/>
        <v>0</v>
      </c>
      <c r="BE26" s="2">
        <f t="shared" si="44"/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f>MIN(N26:BN26:BN26)</f>
        <v>0</v>
      </c>
      <c r="BP26" s="2">
        <f t="shared" si="24"/>
        <v>0</v>
      </c>
      <c r="BQ26" s="22"/>
    </row>
    <row r="27" spans="1:69" ht="20.100000000000001" customHeight="1" x14ac:dyDescent="0.2">
      <c r="A27" s="17">
        <f t="shared" si="41"/>
        <v>25</v>
      </c>
      <c r="B27" s="24">
        <v>99386</v>
      </c>
      <c r="C27" s="18" t="s">
        <v>88</v>
      </c>
      <c r="D27" s="19" t="s">
        <v>94</v>
      </c>
      <c r="E27" s="18" t="s">
        <v>90</v>
      </c>
      <c r="F27" s="9">
        <v>0</v>
      </c>
      <c r="G27" s="25" t="s">
        <v>88</v>
      </c>
      <c r="H27" s="12">
        <v>0</v>
      </c>
      <c r="I27" s="24">
        <v>0</v>
      </c>
      <c r="J27" s="2">
        <v>0</v>
      </c>
      <c r="K27" s="21" t="s">
        <v>91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f t="shared" si="27"/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f t="shared" si="42"/>
        <v>0</v>
      </c>
      <c r="BD27" s="2">
        <f t="shared" si="43"/>
        <v>0</v>
      </c>
      <c r="BE27" s="2">
        <f t="shared" si="44"/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f>MIN(N27:BN27:BN27)</f>
        <v>0</v>
      </c>
      <c r="BP27" s="2">
        <f t="shared" si="24"/>
        <v>0</v>
      </c>
      <c r="BQ27" s="22"/>
    </row>
    <row r="28" spans="1:69" ht="20.100000000000001" customHeight="1" x14ac:dyDescent="0.2">
      <c r="A28" s="17">
        <f t="shared" si="41"/>
        <v>26</v>
      </c>
      <c r="B28" s="24">
        <v>90832</v>
      </c>
      <c r="C28" s="24">
        <v>9409083200</v>
      </c>
      <c r="D28" s="19" t="s">
        <v>95</v>
      </c>
      <c r="E28" s="18" t="s">
        <v>90</v>
      </c>
      <c r="F28" s="9">
        <v>437.1</v>
      </c>
      <c r="G28" s="24">
        <v>940</v>
      </c>
      <c r="H28" s="12">
        <v>0</v>
      </c>
      <c r="I28" s="24">
        <v>0</v>
      </c>
      <c r="J28" s="2">
        <v>0</v>
      </c>
      <c r="K28" s="21" t="s">
        <v>91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f t="shared" si="27"/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f t="shared" si="42"/>
        <v>0</v>
      </c>
      <c r="BD28" s="2">
        <f t="shared" si="43"/>
        <v>0</v>
      </c>
      <c r="BE28" s="2">
        <f t="shared" si="44"/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f>MIN(N28:BN28:BN28)</f>
        <v>0</v>
      </c>
      <c r="BP28" s="2">
        <f t="shared" si="24"/>
        <v>0</v>
      </c>
      <c r="BQ28" s="22"/>
    </row>
    <row r="29" spans="1:69" ht="20.100000000000001" customHeight="1" x14ac:dyDescent="0.2">
      <c r="A29" s="17">
        <f t="shared" si="41"/>
        <v>27</v>
      </c>
      <c r="B29" s="24">
        <v>90834</v>
      </c>
      <c r="C29" s="24">
        <v>9409083400</v>
      </c>
      <c r="D29" s="19" t="s">
        <v>96</v>
      </c>
      <c r="E29" s="18" t="s">
        <v>90</v>
      </c>
      <c r="F29" s="9">
        <v>437.1</v>
      </c>
      <c r="G29" s="24">
        <v>940</v>
      </c>
      <c r="H29" s="12">
        <v>0</v>
      </c>
      <c r="I29" s="24">
        <v>0</v>
      </c>
      <c r="J29" s="2">
        <v>0</v>
      </c>
      <c r="K29" s="21" t="s">
        <v>91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f t="shared" si="27"/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f t="shared" si="42"/>
        <v>0</v>
      </c>
      <c r="BD29" s="2">
        <f t="shared" si="43"/>
        <v>0</v>
      </c>
      <c r="BE29" s="2">
        <f t="shared" si="44"/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f>MIN(N29:BN29:BN29)</f>
        <v>0</v>
      </c>
      <c r="BP29" s="2">
        <f t="shared" si="24"/>
        <v>0</v>
      </c>
      <c r="BQ29" s="22"/>
    </row>
    <row r="30" spans="1:69" ht="20.100000000000001" customHeight="1" x14ac:dyDescent="0.2">
      <c r="A30" s="17">
        <f t="shared" si="41"/>
        <v>28</v>
      </c>
      <c r="B30" s="24">
        <v>90837</v>
      </c>
      <c r="C30" s="24">
        <v>9409083700</v>
      </c>
      <c r="D30" s="19" t="s">
        <v>97</v>
      </c>
      <c r="E30" s="18" t="s">
        <v>90</v>
      </c>
      <c r="F30" s="9">
        <v>437.1</v>
      </c>
      <c r="G30" s="24">
        <v>940</v>
      </c>
      <c r="H30" s="12">
        <v>0</v>
      </c>
      <c r="I30" s="24">
        <v>0</v>
      </c>
      <c r="J30" s="2">
        <v>0</v>
      </c>
      <c r="K30" s="21" t="s">
        <v>91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f t="shared" si="27"/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f t="shared" si="42"/>
        <v>0</v>
      </c>
      <c r="BD30" s="2">
        <f t="shared" si="43"/>
        <v>0</v>
      </c>
      <c r="BE30" s="2">
        <f t="shared" si="44"/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f>MIN(N30:BN30:BN30)</f>
        <v>0</v>
      </c>
      <c r="BP30" s="2">
        <f t="shared" si="24"/>
        <v>0</v>
      </c>
      <c r="BQ30" s="22"/>
    </row>
    <row r="31" spans="1:69" ht="20.100000000000001" customHeight="1" x14ac:dyDescent="0.2">
      <c r="A31" s="17">
        <f t="shared" si="41"/>
        <v>29</v>
      </c>
      <c r="B31" s="24">
        <v>90846</v>
      </c>
      <c r="C31" s="24">
        <v>9119084600</v>
      </c>
      <c r="D31" s="19" t="s">
        <v>98</v>
      </c>
      <c r="E31" s="18" t="s">
        <v>90</v>
      </c>
      <c r="F31" s="9">
        <v>437.1</v>
      </c>
      <c r="G31" s="24">
        <v>911</v>
      </c>
      <c r="H31" s="12">
        <v>0</v>
      </c>
      <c r="I31" s="24">
        <v>0</v>
      </c>
      <c r="J31" s="2">
        <v>0</v>
      </c>
      <c r="K31" s="21" t="s">
        <v>91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f t="shared" si="27"/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f t="shared" si="42"/>
        <v>0</v>
      </c>
      <c r="BD31" s="2">
        <f t="shared" si="43"/>
        <v>0</v>
      </c>
      <c r="BE31" s="2">
        <f t="shared" si="44"/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f>MIN(N31:BN31:BN31)</f>
        <v>0</v>
      </c>
      <c r="BP31" s="2">
        <f t="shared" si="24"/>
        <v>0</v>
      </c>
      <c r="BQ31" s="22"/>
    </row>
    <row r="32" spans="1:69" ht="20.100000000000001" customHeight="1" x14ac:dyDescent="0.2">
      <c r="A32" s="17">
        <f t="shared" si="41"/>
        <v>30</v>
      </c>
      <c r="B32" s="24">
        <v>90847</v>
      </c>
      <c r="C32" s="24">
        <v>9119084700</v>
      </c>
      <c r="D32" s="19" t="s">
        <v>99</v>
      </c>
      <c r="E32" s="18" t="s">
        <v>90</v>
      </c>
      <c r="F32" s="9">
        <v>437.1</v>
      </c>
      <c r="G32" s="24">
        <v>911</v>
      </c>
      <c r="H32" s="12">
        <v>0</v>
      </c>
      <c r="I32" s="24">
        <v>0</v>
      </c>
      <c r="J32" s="2">
        <v>0</v>
      </c>
      <c r="K32" s="21" t="s">
        <v>91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f t="shared" si="27"/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f t="shared" si="42"/>
        <v>0</v>
      </c>
      <c r="BD32" s="2">
        <f t="shared" si="43"/>
        <v>0</v>
      </c>
      <c r="BE32" s="2">
        <f t="shared" si="44"/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f>MIN(N32:BN32:BN32)</f>
        <v>0</v>
      </c>
      <c r="BP32" s="2">
        <f t="shared" si="24"/>
        <v>0</v>
      </c>
      <c r="BQ32" s="22"/>
    </row>
    <row r="33" spans="1:69" ht="20.100000000000001" customHeight="1" x14ac:dyDescent="0.2">
      <c r="A33" s="17">
        <f t="shared" si="41"/>
        <v>31</v>
      </c>
      <c r="B33" s="24">
        <v>90853</v>
      </c>
      <c r="C33" s="24">
        <v>9409085300</v>
      </c>
      <c r="D33" s="19" t="s">
        <v>100</v>
      </c>
      <c r="E33" s="18" t="s">
        <v>90</v>
      </c>
      <c r="F33" s="9">
        <v>227.55</v>
      </c>
      <c r="G33" s="24">
        <v>940</v>
      </c>
      <c r="H33" s="12">
        <v>0</v>
      </c>
      <c r="I33" s="24">
        <v>0</v>
      </c>
      <c r="J33" s="2">
        <v>0</v>
      </c>
      <c r="K33" s="21" t="s">
        <v>91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f t="shared" si="27"/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f t="shared" si="42"/>
        <v>0</v>
      </c>
      <c r="BD33" s="2">
        <f t="shared" si="43"/>
        <v>0</v>
      </c>
      <c r="BE33" s="2">
        <f t="shared" si="44"/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f>MIN(N33:BN33:BN33)</f>
        <v>0</v>
      </c>
      <c r="BP33" s="2">
        <f t="shared" si="24"/>
        <v>0</v>
      </c>
      <c r="BQ33" s="22"/>
    </row>
    <row r="34" spans="1:69" ht="20.100000000000001" customHeight="1" x14ac:dyDescent="0.2">
      <c r="A34" s="17">
        <f t="shared" si="41"/>
        <v>32</v>
      </c>
      <c r="B34" s="24">
        <v>82785</v>
      </c>
      <c r="C34" s="24" t="s">
        <v>101</v>
      </c>
      <c r="D34" s="19" t="s">
        <v>102</v>
      </c>
      <c r="E34" s="18" t="s">
        <v>103</v>
      </c>
      <c r="F34" s="33">
        <v>98.76</v>
      </c>
      <c r="G34" s="24">
        <v>301</v>
      </c>
      <c r="H34" s="12">
        <v>0</v>
      </c>
      <c r="I34" s="24">
        <v>0</v>
      </c>
      <c r="J34" s="2">
        <f t="shared" ref="J34:J65" si="45">L34*1.3</f>
        <v>21.740368</v>
      </c>
      <c r="K34" s="21" t="s">
        <v>104</v>
      </c>
      <c r="L34" s="2">
        <v>16.72336</v>
      </c>
      <c r="M34" s="2">
        <v>14.618980000000001</v>
      </c>
      <c r="N34" s="2">
        <f>19.7*1.8</f>
        <v>35.46</v>
      </c>
      <c r="O34" s="1">
        <f t="shared" ref="O34:O65" si="46">L34</f>
        <v>16.72336</v>
      </c>
      <c r="P34" s="2">
        <f t="shared" ref="P34:P81" si="47">F34*0.65</f>
        <v>64.194000000000003</v>
      </c>
      <c r="Q34" s="2">
        <f t="shared" ref="Q34:Q65" si="48">L34</f>
        <v>16.72336</v>
      </c>
      <c r="R34" s="2">
        <f t="shared" ref="R34:R65" si="49">L34*1.1</f>
        <v>18.395696000000001</v>
      </c>
      <c r="S34" s="2">
        <f t="shared" ref="S34:S65" si="50">L34</f>
        <v>16.72336</v>
      </c>
      <c r="T34" s="1">
        <v>25.949614000000004</v>
      </c>
      <c r="U34" s="1"/>
      <c r="V34" s="1">
        <v>68.510000000000005</v>
      </c>
      <c r="W34" s="2">
        <v>16.72</v>
      </c>
      <c r="X34" s="2">
        <f t="shared" ref="X34:X65" si="51">L34</f>
        <v>16.72336</v>
      </c>
      <c r="Y34" s="2">
        <f t="shared" ref="Y34:Y65" si="52">L34</f>
        <v>16.72336</v>
      </c>
      <c r="Z34" s="12">
        <v>24.075000000000003</v>
      </c>
      <c r="AA34" s="2">
        <f t="shared" ref="AA34:AA65" si="53">L34*0.95</f>
        <v>15.887191999999999</v>
      </c>
      <c r="AB34" s="2">
        <f t="shared" ref="AB34:AB65" si="54">L34*0.95</f>
        <v>15.887191999999999</v>
      </c>
      <c r="AC34" s="2">
        <f t="shared" ref="AC34:AC65" si="55">L34</f>
        <v>16.72336</v>
      </c>
      <c r="AD34" s="2">
        <f t="shared" ref="AD34:AD65" si="56">L34*1.05</f>
        <v>17.559528</v>
      </c>
      <c r="AE34" s="2">
        <f t="shared" ref="AE34:AE65" si="57">L34</f>
        <v>16.72336</v>
      </c>
      <c r="AF34" s="2">
        <f t="shared" ref="AF34:AF65" si="58">L34</f>
        <v>16.72336</v>
      </c>
      <c r="AG34" s="2">
        <f t="shared" ref="AG34:AG65" si="59">L34*0.92</f>
        <v>15.385491200000001</v>
      </c>
      <c r="AH34" s="2">
        <f t="shared" ref="AH34:AH81" si="60">F34*0.7</f>
        <v>69.132000000000005</v>
      </c>
      <c r="AI34" s="2">
        <f>L34</f>
        <v>16.72336</v>
      </c>
      <c r="AJ34" s="2">
        <f t="shared" si="27"/>
        <v>16.72336</v>
      </c>
      <c r="AK34" s="2">
        <f t="shared" ref="AK34:AK65" si="61">L34*1.36</f>
        <v>22.7437696</v>
      </c>
      <c r="AL34" s="2">
        <f t="shared" ref="AL34:AL65" si="62">L34</f>
        <v>16.72336</v>
      </c>
      <c r="AM34" s="2">
        <f t="shared" ref="AM34:AM65" si="63">L34</f>
        <v>16.72336</v>
      </c>
      <c r="AN34" s="1">
        <f t="shared" ref="AN34:AN65" si="64">L34</f>
        <v>16.72336</v>
      </c>
      <c r="AO34" s="1">
        <f t="shared" ref="AO34:AO65" si="65">L34</f>
        <v>16.72336</v>
      </c>
      <c r="AP34" s="2">
        <f t="shared" ref="AP34:AP65" si="66">M34</f>
        <v>14.618980000000001</v>
      </c>
      <c r="AQ34" s="2">
        <f>F34*0.6</f>
        <v>59.256</v>
      </c>
      <c r="AR34" s="1">
        <f t="shared" ref="AR34:AR81" si="67">F34*0.5</f>
        <v>49.38</v>
      </c>
      <c r="AS34" s="2">
        <f>M34*2.5</f>
        <v>36.547449999999998</v>
      </c>
      <c r="AT34" s="1">
        <f t="shared" ref="AT34:AT65" si="68">L34</f>
        <v>16.72336</v>
      </c>
      <c r="AU34" s="2">
        <v>20.853297450000007</v>
      </c>
      <c r="AV34" s="2">
        <f>M34*1.1</f>
        <v>16.080878000000002</v>
      </c>
      <c r="AW34" s="2">
        <f t="shared" ref="AW34:AW65" si="69">L34</f>
        <v>16.72336</v>
      </c>
      <c r="AX34" s="2">
        <f t="shared" ref="AX34:AX77" si="70">L34*0.95</f>
        <v>15.887191999999999</v>
      </c>
      <c r="AY34" s="2" t="str">
        <f t="shared" ref="AY34:AY65" si="71">CONCATENATE(ROUND(L34*0.88,2)," ",K34)</f>
        <v>14.72 Per Unit</v>
      </c>
      <c r="AZ34" s="2">
        <f t="shared" ref="AZ34:AZ65" si="72">L34</f>
        <v>16.72336</v>
      </c>
      <c r="BA34" s="2">
        <f>L34</f>
        <v>16.72336</v>
      </c>
      <c r="BB34" s="2">
        <f>L34</f>
        <v>16.72336</v>
      </c>
      <c r="BC34" s="2">
        <f>L34</f>
        <v>16.72336</v>
      </c>
      <c r="BD34" s="2">
        <f>L34*1.1</f>
        <v>18.395696000000001</v>
      </c>
      <c r="BE34" s="2">
        <f>L34*0.9</f>
        <v>15.051024</v>
      </c>
      <c r="BF34" s="2">
        <f t="shared" ref="BF34:BF81" si="73">F34*0.85</f>
        <v>83.945999999999998</v>
      </c>
      <c r="BG34" s="2">
        <f t="shared" ref="BG34:BG65" si="74">L34</f>
        <v>16.72336</v>
      </c>
      <c r="BH34" s="2" t="str">
        <f t="shared" ref="BH34:BH65" si="75">CONCATENATE(ROUND(L34*0.95,2)," ",K34)</f>
        <v>15.89 Per Unit</v>
      </c>
      <c r="BI34" s="1">
        <f t="shared" ref="BI34:BI67" si="76">L34*1.2</f>
        <v>20.068031999999999</v>
      </c>
      <c r="BJ34" s="2">
        <f t="shared" ref="BJ34:BJ67" si="77">L34</f>
        <v>16.72336</v>
      </c>
      <c r="BK34" s="2">
        <f t="shared" ref="BK34:BK65" si="78">L34*0.95</f>
        <v>15.887191999999999</v>
      </c>
      <c r="BL34" s="2">
        <f t="shared" ref="BL34:BL65" si="79">L34</f>
        <v>16.72336</v>
      </c>
      <c r="BM34" s="1">
        <v>14.81</v>
      </c>
      <c r="BN34" s="2">
        <f t="shared" ref="BN34:BN65" si="80">L34</f>
        <v>16.72336</v>
      </c>
      <c r="BO34" s="2">
        <f>MIN(N34:BN34:BN34)</f>
        <v>14.618980000000001</v>
      </c>
      <c r="BP34" s="2">
        <f t="shared" si="24"/>
        <v>83.945999999999998</v>
      </c>
      <c r="BQ34" s="22"/>
    </row>
    <row r="35" spans="1:69" ht="20.100000000000001" customHeight="1" x14ac:dyDescent="0.2">
      <c r="A35" s="17">
        <f t="shared" si="41"/>
        <v>33</v>
      </c>
      <c r="B35" s="17">
        <v>80158</v>
      </c>
      <c r="C35" s="24">
        <v>3008015800</v>
      </c>
      <c r="D35" s="26" t="s">
        <v>105</v>
      </c>
      <c r="E35" s="18" t="s">
        <v>103</v>
      </c>
      <c r="F35" s="33">
        <v>108.3</v>
      </c>
      <c r="G35" s="24">
        <v>300</v>
      </c>
      <c r="H35" s="12">
        <v>0</v>
      </c>
      <c r="I35" s="24">
        <v>0</v>
      </c>
      <c r="J35" s="2">
        <f t="shared" si="45"/>
        <v>23.840440000000005</v>
      </c>
      <c r="K35" s="21" t="s">
        <v>104</v>
      </c>
      <c r="L35" s="2">
        <v>18.338800000000003</v>
      </c>
      <c r="M35" s="1">
        <v>16.060852000000001</v>
      </c>
      <c r="N35" s="2">
        <f>21.59*1.8</f>
        <v>38.862000000000002</v>
      </c>
      <c r="O35" s="1">
        <f t="shared" si="46"/>
        <v>18.338800000000003</v>
      </c>
      <c r="P35" s="2">
        <f t="shared" si="47"/>
        <v>70.394999999999996</v>
      </c>
      <c r="Q35" s="2">
        <f t="shared" si="48"/>
        <v>18.338800000000003</v>
      </c>
      <c r="R35" s="2">
        <f t="shared" si="49"/>
        <v>20.172680000000003</v>
      </c>
      <c r="S35" s="2">
        <f t="shared" si="50"/>
        <v>18.338800000000003</v>
      </c>
      <c r="T35" s="1">
        <v>28.453338000000002</v>
      </c>
      <c r="U35" s="1"/>
      <c r="V35" s="1">
        <v>61.37</v>
      </c>
      <c r="W35" s="2">
        <v>18.329999999999998</v>
      </c>
      <c r="X35" s="2">
        <f t="shared" si="51"/>
        <v>18.338800000000003</v>
      </c>
      <c r="Y35" s="2">
        <f t="shared" si="52"/>
        <v>18.338800000000003</v>
      </c>
      <c r="Z35" s="2">
        <v>26.4</v>
      </c>
      <c r="AA35" s="2">
        <f t="shared" si="53"/>
        <v>17.421860000000002</v>
      </c>
      <c r="AB35" s="2">
        <f t="shared" si="54"/>
        <v>17.421860000000002</v>
      </c>
      <c r="AC35" s="2">
        <f t="shared" si="55"/>
        <v>18.338800000000003</v>
      </c>
      <c r="AD35" s="2">
        <f t="shared" si="56"/>
        <v>19.255740000000003</v>
      </c>
      <c r="AE35" s="2">
        <f t="shared" si="57"/>
        <v>18.338800000000003</v>
      </c>
      <c r="AF35" s="2">
        <f t="shared" si="58"/>
        <v>18.338800000000003</v>
      </c>
      <c r="AG35" s="2">
        <f t="shared" si="59"/>
        <v>16.871696000000004</v>
      </c>
      <c r="AH35" s="2">
        <f t="shared" si="60"/>
        <v>75.809999999999988</v>
      </c>
      <c r="AI35" s="2">
        <f>L35</f>
        <v>18.338800000000003</v>
      </c>
      <c r="AJ35" s="2">
        <f t="shared" si="27"/>
        <v>18.338800000000003</v>
      </c>
      <c r="AK35" s="2">
        <f t="shared" si="61"/>
        <v>24.940768000000006</v>
      </c>
      <c r="AL35" s="2">
        <f t="shared" si="62"/>
        <v>18.338800000000003</v>
      </c>
      <c r="AM35" s="2">
        <f t="shared" si="63"/>
        <v>18.338800000000003</v>
      </c>
      <c r="AN35" s="1">
        <f t="shared" si="64"/>
        <v>18.338800000000003</v>
      </c>
      <c r="AO35" s="1">
        <f t="shared" si="65"/>
        <v>18.338800000000003</v>
      </c>
      <c r="AP35" s="2">
        <f t="shared" si="66"/>
        <v>16.060852000000001</v>
      </c>
      <c r="AQ35" s="2">
        <f>F35*0.6</f>
        <v>64.97999999999999</v>
      </c>
      <c r="AR35" s="1">
        <f t="shared" si="67"/>
        <v>54.15</v>
      </c>
      <c r="AS35" s="2">
        <f t="shared" ref="AS35:AS98" si="81">M35*2.5</f>
        <v>40.15213</v>
      </c>
      <c r="AT35" s="1">
        <f t="shared" si="68"/>
        <v>18.338800000000003</v>
      </c>
      <c r="AU35" s="2">
        <v>22.867680375000006</v>
      </c>
      <c r="AV35" s="2">
        <f>M35*1.1</f>
        <v>17.666937200000003</v>
      </c>
      <c r="AW35" s="2">
        <f t="shared" si="69"/>
        <v>18.338800000000003</v>
      </c>
      <c r="AX35" s="2">
        <f t="shared" si="70"/>
        <v>17.421860000000002</v>
      </c>
      <c r="AY35" s="2" t="str">
        <f t="shared" si="71"/>
        <v>16.14 Per Unit</v>
      </c>
      <c r="AZ35" s="1">
        <f t="shared" si="72"/>
        <v>18.338800000000003</v>
      </c>
      <c r="BA35" s="2">
        <f t="shared" ref="BA35:BA98" si="82">L35</f>
        <v>18.338800000000003</v>
      </c>
      <c r="BB35" s="2">
        <f t="shared" ref="BB35:BB98" si="83">L35</f>
        <v>18.338800000000003</v>
      </c>
      <c r="BC35" s="2">
        <f t="shared" ref="BC35:BC98" si="84">L35</f>
        <v>18.338800000000003</v>
      </c>
      <c r="BD35" s="2">
        <f t="shared" ref="BD35:BD98" si="85">L35*1.1</f>
        <v>20.172680000000003</v>
      </c>
      <c r="BE35" s="2">
        <f t="shared" ref="BE35:BE98" si="86">L35*0.9</f>
        <v>16.504920000000002</v>
      </c>
      <c r="BF35" s="2">
        <f t="shared" si="73"/>
        <v>92.054999999999993</v>
      </c>
      <c r="BG35" s="2">
        <f t="shared" si="74"/>
        <v>18.338800000000003</v>
      </c>
      <c r="BH35" s="2" t="str">
        <f t="shared" si="75"/>
        <v>17.42 Per Unit</v>
      </c>
      <c r="BI35" s="1">
        <f t="shared" si="76"/>
        <v>22.006560000000004</v>
      </c>
      <c r="BJ35" s="2">
        <f t="shared" si="77"/>
        <v>18.338800000000003</v>
      </c>
      <c r="BK35" s="2">
        <f t="shared" si="78"/>
        <v>17.421860000000002</v>
      </c>
      <c r="BL35" s="2">
        <f t="shared" si="79"/>
        <v>18.338800000000003</v>
      </c>
      <c r="BM35" s="1">
        <v>16.25</v>
      </c>
      <c r="BN35" s="2">
        <f t="shared" si="80"/>
        <v>18.338800000000003</v>
      </c>
      <c r="BO35" s="2">
        <f>MIN(N35:BN35)</f>
        <v>16.060852000000001</v>
      </c>
      <c r="BP35" s="2">
        <f t="shared" ref="BP35:BP66" si="87">MAX(N35:BN35)</f>
        <v>92.054999999999993</v>
      </c>
      <c r="BQ35" s="22"/>
    </row>
    <row r="36" spans="1:69" ht="20.100000000000001" customHeight="1" x14ac:dyDescent="0.2">
      <c r="A36" s="17">
        <f t="shared" si="41"/>
        <v>34</v>
      </c>
      <c r="B36" s="24">
        <v>82533</v>
      </c>
      <c r="C36" s="24">
        <v>3018253300</v>
      </c>
      <c r="D36" s="26" t="s">
        <v>106</v>
      </c>
      <c r="E36" s="18" t="s">
        <v>103</v>
      </c>
      <c r="F36" s="33">
        <v>97.8</v>
      </c>
      <c r="G36" s="24">
        <v>301</v>
      </c>
      <c r="H36" s="12">
        <v>0</v>
      </c>
      <c r="I36" s="24">
        <v>0</v>
      </c>
      <c r="J36" s="2">
        <f t="shared" si="45"/>
        <v>21.529040000000002</v>
      </c>
      <c r="K36" s="21" t="s">
        <v>104</v>
      </c>
      <c r="L36" s="2">
        <v>16.5608</v>
      </c>
      <c r="M36" s="2">
        <v>14.508837000000002</v>
      </c>
      <c r="N36" s="1">
        <f>19.51*1.8</f>
        <v>35.118000000000002</v>
      </c>
      <c r="O36" s="2">
        <f t="shared" si="46"/>
        <v>16.5608</v>
      </c>
      <c r="P36" s="1">
        <f t="shared" si="47"/>
        <v>63.57</v>
      </c>
      <c r="Q36" s="2">
        <f t="shared" si="48"/>
        <v>16.5608</v>
      </c>
      <c r="R36" s="1">
        <f t="shared" si="49"/>
        <v>18.216880000000003</v>
      </c>
      <c r="S36" s="2">
        <f t="shared" si="50"/>
        <v>16.5608</v>
      </c>
      <c r="T36" s="2">
        <v>25.716215999999999</v>
      </c>
      <c r="U36" s="1"/>
      <c r="V36" s="1">
        <v>55.42</v>
      </c>
      <c r="W36" s="2">
        <f t="shared" ref="W36:W65" si="88">L36</f>
        <v>16.5608</v>
      </c>
      <c r="X36" s="2">
        <f t="shared" si="51"/>
        <v>16.5608</v>
      </c>
      <c r="Y36" s="2">
        <f t="shared" si="52"/>
        <v>16.5608</v>
      </c>
      <c r="Z36" s="2">
        <v>23.85</v>
      </c>
      <c r="AA36" s="2">
        <f t="shared" si="53"/>
        <v>15.732759999999999</v>
      </c>
      <c r="AB36" s="2">
        <f t="shared" si="54"/>
        <v>15.732759999999999</v>
      </c>
      <c r="AC36" s="2">
        <f t="shared" si="55"/>
        <v>16.5608</v>
      </c>
      <c r="AD36" s="1">
        <f t="shared" si="56"/>
        <v>17.388840000000002</v>
      </c>
      <c r="AE36" s="2">
        <f t="shared" si="57"/>
        <v>16.5608</v>
      </c>
      <c r="AF36" s="2">
        <f t="shared" si="58"/>
        <v>16.5608</v>
      </c>
      <c r="AG36" s="2">
        <f t="shared" si="59"/>
        <v>15.235936000000001</v>
      </c>
      <c r="AH36" s="1">
        <f t="shared" si="60"/>
        <v>68.459999999999994</v>
      </c>
      <c r="AI36" s="2">
        <f t="shared" ref="AI36:AI99" si="89">L36</f>
        <v>16.5608</v>
      </c>
      <c r="AJ36" s="2">
        <f t="shared" si="27"/>
        <v>16.5608</v>
      </c>
      <c r="AK36" s="1">
        <f t="shared" si="61"/>
        <v>22.522688000000002</v>
      </c>
      <c r="AL36" s="2">
        <f t="shared" si="62"/>
        <v>16.5608</v>
      </c>
      <c r="AM36" s="2">
        <f t="shared" si="63"/>
        <v>16.5608</v>
      </c>
      <c r="AN36" s="1">
        <f t="shared" si="64"/>
        <v>16.5608</v>
      </c>
      <c r="AO36" s="1">
        <f t="shared" si="65"/>
        <v>16.5608</v>
      </c>
      <c r="AP36" s="2">
        <f t="shared" si="66"/>
        <v>14.508837000000002</v>
      </c>
      <c r="AQ36" s="2">
        <f t="shared" ref="AQ36:AQ67" si="90">L36</f>
        <v>16.5608</v>
      </c>
      <c r="AR36" s="1">
        <f t="shared" si="67"/>
        <v>48.9</v>
      </c>
      <c r="AS36" s="2">
        <f t="shared" si="81"/>
        <v>36.272092500000007</v>
      </c>
      <c r="AT36" s="2">
        <f t="shared" si="68"/>
        <v>16.5608</v>
      </c>
      <c r="AU36" s="2">
        <v>20.650592250000006</v>
      </c>
      <c r="AV36" s="2">
        <f>M36*1.1</f>
        <v>15.959720700000004</v>
      </c>
      <c r="AW36" s="2">
        <f t="shared" si="69"/>
        <v>16.5608</v>
      </c>
      <c r="AX36" s="1">
        <f t="shared" si="70"/>
        <v>15.732759999999999</v>
      </c>
      <c r="AY36" s="2" t="str">
        <f t="shared" si="71"/>
        <v>14.57 Per Unit</v>
      </c>
      <c r="AZ36" s="2">
        <f t="shared" si="72"/>
        <v>16.5608</v>
      </c>
      <c r="BA36" s="2">
        <f t="shared" si="82"/>
        <v>16.5608</v>
      </c>
      <c r="BB36" s="2">
        <f t="shared" si="83"/>
        <v>16.5608</v>
      </c>
      <c r="BC36" s="2">
        <f t="shared" si="84"/>
        <v>16.5608</v>
      </c>
      <c r="BD36" s="2">
        <f t="shared" si="85"/>
        <v>18.216880000000003</v>
      </c>
      <c r="BE36" s="2">
        <f t="shared" si="86"/>
        <v>14.904720000000001</v>
      </c>
      <c r="BF36" s="2">
        <f t="shared" si="73"/>
        <v>83.13</v>
      </c>
      <c r="BG36" s="2">
        <f t="shared" si="74"/>
        <v>16.5608</v>
      </c>
      <c r="BH36" s="2" t="str">
        <f t="shared" si="75"/>
        <v>15.73 Per Unit</v>
      </c>
      <c r="BI36" s="1">
        <f t="shared" si="76"/>
        <v>19.872959999999999</v>
      </c>
      <c r="BJ36" s="2">
        <f t="shared" si="77"/>
        <v>16.5608</v>
      </c>
      <c r="BK36" s="2">
        <f t="shared" si="78"/>
        <v>15.732759999999999</v>
      </c>
      <c r="BL36" s="2">
        <f t="shared" si="79"/>
        <v>16.5608</v>
      </c>
      <c r="BM36" s="2">
        <v>14.670000000000002</v>
      </c>
      <c r="BN36" s="2">
        <f t="shared" si="80"/>
        <v>16.5608</v>
      </c>
      <c r="BO36" s="2">
        <f>MIN(N36:BN36)</f>
        <v>14.508837000000002</v>
      </c>
      <c r="BP36" s="2">
        <f t="shared" si="87"/>
        <v>83.13</v>
      </c>
      <c r="BQ36" s="22"/>
    </row>
    <row r="37" spans="1:69" ht="20.100000000000001" customHeight="1" x14ac:dyDescent="0.2">
      <c r="A37" s="17">
        <f t="shared" si="41"/>
        <v>35</v>
      </c>
      <c r="B37" s="17">
        <v>36415</v>
      </c>
      <c r="C37" s="24">
        <v>3003641500</v>
      </c>
      <c r="D37" s="19" t="s">
        <v>107</v>
      </c>
      <c r="E37" s="18" t="s">
        <v>103</v>
      </c>
      <c r="F37" s="33">
        <v>54</v>
      </c>
      <c r="G37" s="24">
        <v>300</v>
      </c>
      <c r="H37" s="12">
        <v>0</v>
      </c>
      <c r="I37" s="24">
        <v>0</v>
      </c>
      <c r="J37" s="2">
        <f t="shared" si="45"/>
        <v>3.9624000000000001</v>
      </c>
      <c r="K37" s="21" t="s">
        <v>104</v>
      </c>
      <c r="L37" s="2">
        <v>3.048</v>
      </c>
      <c r="M37" s="1">
        <v>0</v>
      </c>
      <c r="N37" s="1">
        <f>2.64*1.8</f>
        <v>4.7520000000000007</v>
      </c>
      <c r="O37" s="2">
        <f t="shared" si="46"/>
        <v>3.048</v>
      </c>
      <c r="P37" s="1">
        <f t="shared" si="47"/>
        <v>35.1</v>
      </c>
      <c r="Q37" s="2">
        <f t="shared" si="48"/>
        <v>3.048</v>
      </c>
      <c r="R37" s="1">
        <f t="shared" si="49"/>
        <v>3.3528000000000002</v>
      </c>
      <c r="S37" s="2">
        <f t="shared" si="50"/>
        <v>3.048</v>
      </c>
      <c r="T37" s="1">
        <v>3.5009700000000001</v>
      </c>
      <c r="U37" s="1"/>
      <c r="V37" s="1">
        <f>3*3.14</f>
        <v>9.42</v>
      </c>
      <c r="W37" s="2">
        <f t="shared" si="88"/>
        <v>3.048</v>
      </c>
      <c r="X37" s="2">
        <f t="shared" si="51"/>
        <v>3.048</v>
      </c>
      <c r="Y37" s="2">
        <f t="shared" si="52"/>
        <v>3.048</v>
      </c>
      <c r="Z37" s="2">
        <v>4.4000000000000004</v>
      </c>
      <c r="AA37" s="2">
        <f t="shared" si="53"/>
        <v>2.8956</v>
      </c>
      <c r="AB37" s="2">
        <f t="shared" si="54"/>
        <v>2.8956</v>
      </c>
      <c r="AC37" s="2">
        <f t="shared" si="55"/>
        <v>3.048</v>
      </c>
      <c r="AD37" s="1">
        <f t="shared" si="56"/>
        <v>3.2004000000000001</v>
      </c>
      <c r="AE37" s="2">
        <f t="shared" si="57"/>
        <v>3.048</v>
      </c>
      <c r="AF37" s="2">
        <f t="shared" si="58"/>
        <v>3.048</v>
      </c>
      <c r="AG37" s="2">
        <f t="shared" si="59"/>
        <v>2.80416</v>
      </c>
      <c r="AH37" s="1">
        <f t="shared" si="60"/>
        <v>37.799999999999997</v>
      </c>
      <c r="AI37" s="2">
        <f t="shared" si="89"/>
        <v>3.048</v>
      </c>
      <c r="AJ37" s="2">
        <f t="shared" si="27"/>
        <v>3.048</v>
      </c>
      <c r="AK37" s="1">
        <f t="shared" si="61"/>
        <v>4.1452800000000005</v>
      </c>
      <c r="AL37" s="2">
        <f t="shared" si="62"/>
        <v>3.048</v>
      </c>
      <c r="AM37" s="2">
        <f t="shared" si="63"/>
        <v>3.048</v>
      </c>
      <c r="AN37" s="1">
        <f t="shared" si="64"/>
        <v>3.048</v>
      </c>
      <c r="AO37" s="1">
        <f t="shared" si="65"/>
        <v>3.048</v>
      </c>
      <c r="AP37" s="2">
        <f t="shared" si="66"/>
        <v>0</v>
      </c>
      <c r="AQ37" s="2">
        <f t="shared" si="90"/>
        <v>3.048</v>
      </c>
      <c r="AR37" s="1">
        <f t="shared" si="67"/>
        <v>27</v>
      </c>
      <c r="AS37" s="2">
        <f t="shared" si="81"/>
        <v>0</v>
      </c>
      <c r="AT37" s="2">
        <f t="shared" si="68"/>
        <v>3.048</v>
      </c>
      <c r="AU37" s="2">
        <v>11.402167500000003</v>
      </c>
      <c r="AV37" s="2">
        <f>M37</f>
        <v>0</v>
      </c>
      <c r="AW37" s="2">
        <f t="shared" si="69"/>
        <v>3.048</v>
      </c>
      <c r="AX37" s="1">
        <f t="shared" si="70"/>
        <v>2.8956</v>
      </c>
      <c r="AY37" s="2" t="str">
        <f t="shared" si="71"/>
        <v>2.68 Per Unit</v>
      </c>
      <c r="AZ37" s="2">
        <f t="shared" si="72"/>
        <v>3.048</v>
      </c>
      <c r="BA37" s="2">
        <f t="shared" si="82"/>
        <v>3.048</v>
      </c>
      <c r="BB37" s="2">
        <f t="shared" si="83"/>
        <v>3.048</v>
      </c>
      <c r="BC37" s="2">
        <f t="shared" si="84"/>
        <v>3.048</v>
      </c>
      <c r="BD37" s="2">
        <f t="shared" si="85"/>
        <v>3.3528000000000002</v>
      </c>
      <c r="BE37" s="2">
        <f t="shared" si="86"/>
        <v>2.7432000000000003</v>
      </c>
      <c r="BF37" s="2">
        <f t="shared" si="73"/>
        <v>45.9</v>
      </c>
      <c r="BG37" s="2">
        <f t="shared" si="74"/>
        <v>3.048</v>
      </c>
      <c r="BH37" s="2" t="str">
        <f t="shared" si="75"/>
        <v>2.9 Per Unit</v>
      </c>
      <c r="BI37" s="1">
        <f t="shared" si="76"/>
        <v>3.6576</v>
      </c>
      <c r="BJ37" s="2">
        <f t="shared" si="77"/>
        <v>3.048</v>
      </c>
      <c r="BK37" s="2">
        <f t="shared" si="78"/>
        <v>2.8956</v>
      </c>
      <c r="BL37" s="2">
        <f t="shared" si="79"/>
        <v>3.048</v>
      </c>
      <c r="BM37" s="2">
        <v>2.7</v>
      </c>
      <c r="BN37" s="2">
        <f t="shared" si="80"/>
        <v>3.048</v>
      </c>
      <c r="BO37" s="2">
        <f>MIN(N37:BN37)</f>
        <v>0</v>
      </c>
      <c r="BP37" s="2">
        <f t="shared" si="87"/>
        <v>45.9</v>
      </c>
      <c r="BQ37" s="22"/>
    </row>
    <row r="38" spans="1:69" ht="20.100000000000001" customHeight="1" x14ac:dyDescent="0.2">
      <c r="A38" s="17">
        <f t="shared" si="41"/>
        <v>36</v>
      </c>
      <c r="B38" s="24">
        <v>82728</v>
      </c>
      <c r="C38" s="24">
        <v>3018272800</v>
      </c>
      <c r="D38" s="19" t="s">
        <v>108</v>
      </c>
      <c r="E38" s="18" t="s">
        <v>103</v>
      </c>
      <c r="F38" s="33">
        <v>81.78</v>
      </c>
      <c r="G38" s="24">
        <v>301</v>
      </c>
      <c r="H38" s="12">
        <v>0</v>
      </c>
      <c r="I38" s="24">
        <v>0</v>
      </c>
      <c r="J38" s="2">
        <f t="shared" si="45"/>
        <v>18.002504000000002</v>
      </c>
      <c r="K38" s="21" t="s">
        <v>104</v>
      </c>
      <c r="L38" s="2">
        <v>13.848080000000001</v>
      </c>
      <c r="M38" s="2">
        <v>12.085691000000001</v>
      </c>
      <c r="N38" s="1">
        <f>16.29*1.8</f>
        <v>29.321999999999999</v>
      </c>
      <c r="O38" s="2">
        <f t="shared" si="46"/>
        <v>13.848080000000001</v>
      </c>
      <c r="P38" s="1">
        <f t="shared" si="47"/>
        <v>53.157000000000004</v>
      </c>
      <c r="Q38" s="2">
        <f t="shared" si="48"/>
        <v>13.848080000000001</v>
      </c>
      <c r="R38" s="1">
        <f t="shared" si="49"/>
        <v>15.232888000000003</v>
      </c>
      <c r="S38" s="2">
        <f t="shared" si="50"/>
        <v>13.848080000000001</v>
      </c>
      <c r="T38" s="2">
        <v>21.472615999999999</v>
      </c>
      <c r="U38" s="1"/>
      <c r="V38" s="1">
        <v>46.34</v>
      </c>
      <c r="W38" s="2">
        <f t="shared" si="88"/>
        <v>13.848080000000001</v>
      </c>
      <c r="X38" s="2">
        <f t="shared" si="51"/>
        <v>13.848080000000001</v>
      </c>
      <c r="Y38" s="2">
        <f t="shared" si="52"/>
        <v>13.848080000000001</v>
      </c>
      <c r="Z38" s="2">
        <v>19.940000000000001</v>
      </c>
      <c r="AA38" s="2">
        <f t="shared" si="53"/>
        <v>13.155676000000001</v>
      </c>
      <c r="AB38" s="2">
        <f t="shared" si="54"/>
        <v>13.155676000000001</v>
      </c>
      <c r="AC38" s="2">
        <f t="shared" si="55"/>
        <v>13.848080000000001</v>
      </c>
      <c r="AD38" s="1">
        <f t="shared" si="56"/>
        <v>14.540484000000001</v>
      </c>
      <c r="AE38" s="2">
        <f t="shared" si="57"/>
        <v>13.848080000000001</v>
      </c>
      <c r="AF38" s="2">
        <f t="shared" si="58"/>
        <v>13.848080000000001</v>
      </c>
      <c r="AG38" s="2">
        <f t="shared" si="59"/>
        <v>12.740233600000002</v>
      </c>
      <c r="AH38" s="1">
        <f t="shared" si="60"/>
        <v>57.245999999999995</v>
      </c>
      <c r="AI38" s="2">
        <f t="shared" si="89"/>
        <v>13.848080000000001</v>
      </c>
      <c r="AJ38" s="2">
        <f t="shared" si="27"/>
        <v>13.848080000000001</v>
      </c>
      <c r="AK38" s="1">
        <f t="shared" si="61"/>
        <v>18.833388800000002</v>
      </c>
      <c r="AL38" s="2">
        <f t="shared" si="62"/>
        <v>13.848080000000001</v>
      </c>
      <c r="AM38" s="2">
        <f t="shared" si="63"/>
        <v>13.848080000000001</v>
      </c>
      <c r="AN38" s="1">
        <f t="shared" si="64"/>
        <v>13.848080000000001</v>
      </c>
      <c r="AO38" s="1">
        <f t="shared" si="65"/>
        <v>13.848080000000001</v>
      </c>
      <c r="AP38" s="2">
        <f t="shared" si="66"/>
        <v>12.085691000000001</v>
      </c>
      <c r="AQ38" s="2">
        <f t="shared" si="90"/>
        <v>13.848080000000001</v>
      </c>
      <c r="AR38" s="1">
        <f t="shared" si="67"/>
        <v>40.89</v>
      </c>
      <c r="AS38" s="2">
        <f t="shared" si="81"/>
        <v>30.2142275</v>
      </c>
      <c r="AT38" s="2">
        <f t="shared" si="68"/>
        <v>13.848080000000001</v>
      </c>
      <c r="AU38" s="2">
        <v>17.267949225000002</v>
      </c>
      <c r="AV38" s="2">
        <f t="shared" ref="AV38:AV69" si="91">M38*1.1</f>
        <v>13.294260100000002</v>
      </c>
      <c r="AW38" s="2">
        <f t="shared" si="69"/>
        <v>13.848080000000001</v>
      </c>
      <c r="AX38" s="1">
        <f t="shared" si="70"/>
        <v>13.155676000000001</v>
      </c>
      <c r="AY38" s="2" t="str">
        <f t="shared" si="71"/>
        <v>12.19 Per Unit</v>
      </c>
      <c r="AZ38" s="2">
        <f t="shared" si="72"/>
        <v>13.848080000000001</v>
      </c>
      <c r="BA38" s="2">
        <f t="shared" si="82"/>
        <v>13.848080000000001</v>
      </c>
      <c r="BB38" s="2">
        <f t="shared" si="83"/>
        <v>13.848080000000001</v>
      </c>
      <c r="BC38" s="2">
        <f t="shared" si="84"/>
        <v>13.848080000000001</v>
      </c>
      <c r="BD38" s="2">
        <f t="shared" si="85"/>
        <v>15.232888000000003</v>
      </c>
      <c r="BE38" s="2">
        <f t="shared" si="86"/>
        <v>12.463272000000002</v>
      </c>
      <c r="BF38" s="2">
        <f t="shared" si="73"/>
        <v>69.513000000000005</v>
      </c>
      <c r="BG38" s="2">
        <f t="shared" si="74"/>
        <v>13.848080000000001</v>
      </c>
      <c r="BH38" s="2" t="str">
        <f t="shared" si="75"/>
        <v>13.16 Per Unit</v>
      </c>
      <c r="BI38" s="1">
        <f t="shared" si="76"/>
        <v>16.617696000000002</v>
      </c>
      <c r="BJ38" s="2">
        <f t="shared" si="77"/>
        <v>13.848080000000001</v>
      </c>
      <c r="BK38" s="2">
        <f t="shared" si="78"/>
        <v>13.155676000000001</v>
      </c>
      <c r="BL38" s="2">
        <f t="shared" si="79"/>
        <v>13.848080000000001</v>
      </c>
      <c r="BM38" s="2">
        <v>12.267000000000001</v>
      </c>
      <c r="BN38" s="2">
        <f t="shared" si="80"/>
        <v>13.848080000000001</v>
      </c>
      <c r="BO38" s="2">
        <f>MIN(N38:BN38:BN38)</f>
        <v>12.085691000000001</v>
      </c>
      <c r="BP38" s="2">
        <f t="shared" si="87"/>
        <v>69.513000000000005</v>
      </c>
      <c r="BQ38" s="22"/>
    </row>
    <row r="39" spans="1:69" ht="20.100000000000001" customHeight="1" x14ac:dyDescent="0.2">
      <c r="A39" s="17">
        <f t="shared" si="41"/>
        <v>37</v>
      </c>
      <c r="B39" s="24">
        <v>83003</v>
      </c>
      <c r="C39" s="24">
        <v>3018300300</v>
      </c>
      <c r="D39" s="26" t="s">
        <v>109</v>
      </c>
      <c r="E39" s="18" t="s">
        <v>103</v>
      </c>
      <c r="F39" s="33">
        <v>100.02</v>
      </c>
      <c r="G39" s="24">
        <v>301</v>
      </c>
      <c r="H39" s="12">
        <v>0</v>
      </c>
      <c r="I39" s="24">
        <v>0</v>
      </c>
      <c r="J39" s="2">
        <f t="shared" si="45"/>
        <v>22.017736000000003</v>
      </c>
      <c r="K39" s="21" t="s">
        <v>104</v>
      </c>
      <c r="L39" s="2">
        <v>16.936720000000001</v>
      </c>
      <c r="M39" s="2">
        <v>14.839266000000002</v>
      </c>
      <c r="N39" s="1">
        <f>19.95*1.8</f>
        <v>35.909999999999997</v>
      </c>
      <c r="O39" s="2">
        <f t="shared" si="46"/>
        <v>16.936720000000001</v>
      </c>
      <c r="P39" s="1">
        <f t="shared" si="47"/>
        <v>65.013000000000005</v>
      </c>
      <c r="Q39" s="2">
        <f t="shared" si="48"/>
        <v>16.936720000000001</v>
      </c>
      <c r="R39" s="1">
        <f t="shared" si="49"/>
        <v>18.630392000000004</v>
      </c>
      <c r="S39" s="2">
        <f t="shared" si="50"/>
        <v>16.936720000000001</v>
      </c>
      <c r="T39" s="2">
        <v>26.257275</v>
      </c>
      <c r="U39" s="1"/>
      <c r="V39" s="1">
        <v>55.68</v>
      </c>
      <c r="W39" s="2">
        <f t="shared" si="88"/>
        <v>16.936720000000001</v>
      </c>
      <c r="X39" s="2">
        <f t="shared" si="51"/>
        <v>16.936720000000001</v>
      </c>
      <c r="Y39" s="2">
        <f t="shared" si="52"/>
        <v>16.936720000000001</v>
      </c>
      <c r="Z39" s="2">
        <v>24.39</v>
      </c>
      <c r="AA39" s="2">
        <f t="shared" si="53"/>
        <v>16.089884000000001</v>
      </c>
      <c r="AB39" s="2">
        <f t="shared" si="54"/>
        <v>16.089884000000001</v>
      </c>
      <c r="AC39" s="2">
        <f t="shared" si="55"/>
        <v>16.936720000000001</v>
      </c>
      <c r="AD39" s="1">
        <f t="shared" si="56"/>
        <v>17.783556000000001</v>
      </c>
      <c r="AE39" s="2">
        <f t="shared" si="57"/>
        <v>16.936720000000001</v>
      </c>
      <c r="AF39" s="2">
        <f t="shared" si="58"/>
        <v>16.936720000000001</v>
      </c>
      <c r="AG39" s="2">
        <f t="shared" si="59"/>
        <v>15.581782400000002</v>
      </c>
      <c r="AH39" s="1">
        <f t="shared" si="60"/>
        <v>70.013999999999996</v>
      </c>
      <c r="AI39" s="2">
        <f t="shared" si="89"/>
        <v>16.936720000000001</v>
      </c>
      <c r="AJ39" s="2">
        <f t="shared" si="27"/>
        <v>16.936720000000001</v>
      </c>
      <c r="AK39" s="1">
        <f t="shared" si="61"/>
        <v>23.033939200000003</v>
      </c>
      <c r="AL39" s="2">
        <f t="shared" si="62"/>
        <v>16.936720000000001</v>
      </c>
      <c r="AM39" s="2">
        <f t="shared" si="63"/>
        <v>16.936720000000001</v>
      </c>
      <c r="AN39" s="1">
        <f t="shared" si="64"/>
        <v>16.936720000000001</v>
      </c>
      <c r="AO39" s="1">
        <f t="shared" si="65"/>
        <v>16.936720000000001</v>
      </c>
      <c r="AP39" s="2">
        <f t="shared" si="66"/>
        <v>14.839266000000002</v>
      </c>
      <c r="AQ39" s="2">
        <f t="shared" si="90"/>
        <v>16.936720000000001</v>
      </c>
      <c r="AR39" s="1">
        <f t="shared" si="67"/>
        <v>50.01</v>
      </c>
      <c r="AS39" s="2">
        <f t="shared" si="81"/>
        <v>37.098165000000009</v>
      </c>
      <c r="AT39" s="2">
        <f t="shared" si="68"/>
        <v>16.936720000000001</v>
      </c>
      <c r="AU39" s="2">
        <v>21.119348025000004</v>
      </c>
      <c r="AV39" s="2">
        <f t="shared" si="91"/>
        <v>16.323192600000002</v>
      </c>
      <c r="AW39" s="2">
        <f t="shared" si="69"/>
        <v>16.936720000000001</v>
      </c>
      <c r="AX39" s="1">
        <f t="shared" si="70"/>
        <v>16.089884000000001</v>
      </c>
      <c r="AY39" s="2" t="str">
        <f t="shared" si="71"/>
        <v>14.9 Per Unit</v>
      </c>
      <c r="AZ39" s="2">
        <f t="shared" si="72"/>
        <v>16.936720000000001</v>
      </c>
      <c r="BA39" s="2">
        <f t="shared" si="82"/>
        <v>16.936720000000001</v>
      </c>
      <c r="BB39" s="2">
        <f t="shared" si="83"/>
        <v>16.936720000000001</v>
      </c>
      <c r="BC39" s="2">
        <f t="shared" si="84"/>
        <v>16.936720000000001</v>
      </c>
      <c r="BD39" s="2">
        <f t="shared" si="85"/>
        <v>18.630392000000004</v>
      </c>
      <c r="BE39" s="2">
        <f t="shared" si="86"/>
        <v>15.243048000000002</v>
      </c>
      <c r="BF39" s="2">
        <f t="shared" si="73"/>
        <v>85.016999999999996</v>
      </c>
      <c r="BG39" s="2">
        <f t="shared" si="74"/>
        <v>16.936720000000001</v>
      </c>
      <c r="BH39" s="2" t="str">
        <f t="shared" si="75"/>
        <v>16.09 Per Unit</v>
      </c>
      <c r="BI39" s="1">
        <f t="shared" si="76"/>
        <v>20.324064</v>
      </c>
      <c r="BJ39" s="2">
        <f t="shared" si="77"/>
        <v>16.936720000000001</v>
      </c>
      <c r="BK39" s="2">
        <f t="shared" si="78"/>
        <v>16.089884000000001</v>
      </c>
      <c r="BL39" s="2">
        <f t="shared" si="79"/>
        <v>16.936720000000001</v>
      </c>
      <c r="BM39" s="2">
        <v>15.003000000000002</v>
      </c>
      <c r="BN39" s="2">
        <f t="shared" si="80"/>
        <v>16.936720000000001</v>
      </c>
      <c r="BO39" s="2">
        <f>MIN(N39:BN39:BN39)</f>
        <v>14.839266000000002</v>
      </c>
      <c r="BP39" s="2">
        <f t="shared" si="87"/>
        <v>85.016999999999996</v>
      </c>
      <c r="BQ39" s="22"/>
    </row>
    <row r="40" spans="1:69" ht="20.100000000000001" customHeight="1" x14ac:dyDescent="0.2">
      <c r="A40" s="17">
        <f t="shared" si="41"/>
        <v>38</v>
      </c>
      <c r="B40" s="24">
        <v>84100</v>
      </c>
      <c r="C40" s="24">
        <v>3018410000</v>
      </c>
      <c r="D40" s="26" t="s">
        <v>110</v>
      </c>
      <c r="E40" s="18" t="s">
        <v>103</v>
      </c>
      <c r="F40" s="33">
        <v>28.44</v>
      </c>
      <c r="G40" s="24">
        <v>301</v>
      </c>
      <c r="H40" s="12">
        <v>0</v>
      </c>
      <c r="I40" s="24">
        <v>0</v>
      </c>
      <c r="J40" s="2">
        <f t="shared" si="45"/>
        <v>6.2605920000000008</v>
      </c>
      <c r="K40" s="21" t="s">
        <v>104</v>
      </c>
      <c r="L40" s="2">
        <v>4.8158400000000006</v>
      </c>
      <c r="M40" s="2">
        <v>4.2154730000000002</v>
      </c>
      <c r="N40" s="1">
        <f>5.67*1.8</f>
        <v>10.206</v>
      </c>
      <c r="O40" s="2">
        <f t="shared" si="46"/>
        <v>4.8158400000000006</v>
      </c>
      <c r="P40" s="1">
        <f t="shared" si="47"/>
        <v>18.486000000000001</v>
      </c>
      <c r="Q40" s="2">
        <f t="shared" si="48"/>
        <v>4.8158400000000006</v>
      </c>
      <c r="R40" s="1">
        <f t="shared" si="49"/>
        <v>5.2974240000000012</v>
      </c>
      <c r="S40" s="2">
        <f t="shared" si="50"/>
        <v>4.8158400000000006</v>
      </c>
      <c r="T40" s="2">
        <v>7.4581270000000011</v>
      </c>
      <c r="U40" s="1"/>
      <c r="V40" s="1">
        <v>16.45</v>
      </c>
      <c r="W40" s="2">
        <f t="shared" si="88"/>
        <v>4.8158400000000006</v>
      </c>
      <c r="X40" s="2">
        <f t="shared" si="51"/>
        <v>4.8158400000000006</v>
      </c>
      <c r="Y40" s="2">
        <f t="shared" si="52"/>
        <v>4.8158400000000006</v>
      </c>
      <c r="Z40" s="2">
        <v>6.93</v>
      </c>
      <c r="AA40" s="2">
        <f t="shared" si="53"/>
        <v>4.5750480000000007</v>
      </c>
      <c r="AB40" s="2">
        <f t="shared" si="54"/>
        <v>4.5750480000000007</v>
      </c>
      <c r="AC40" s="2">
        <f t="shared" si="55"/>
        <v>4.8158400000000006</v>
      </c>
      <c r="AD40" s="1">
        <f t="shared" si="56"/>
        <v>5.0566320000000005</v>
      </c>
      <c r="AE40" s="2">
        <f t="shared" si="57"/>
        <v>4.8158400000000006</v>
      </c>
      <c r="AF40" s="2">
        <f t="shared" si="58"/>
        <v>4.8158400000000006</v>
      </c>
      <c r="AG40" s="2">
        <f t="shared" si="59"/>
        <v>4.4305728000000011</v>
      </c>
      <c r="AH40" s="1">
        <f t="shared" si="60"/>
        <v>19.908000000000001</v>
      </c>
      <c r="AI40" s="2">
        <f t="shared" si="89"/>
        <v>4.8158400000000006</v>
      </c>
      <c r="AJ40" s="2">
        <f t="shared" si="27"/>
        <v>4.8158400000000006</v>
      </c>
      <c r="AK40" s="1">
        <f t="shared" si="61"/>
        <v>6.5495424000000009</v>
      </c>
      <c r="AL40" s="2">
        <f t="shared" si="62"/>
        <v>4.8158400000000006</v>
      </c>
      <c r="AM40" s="2">
        <f t="shared" si="63"/>
        <v>4.8158400000000006</v>
      </c>
      <c r="AN40" s="1">
        <f t="shared" si="64"/>
        <v>4.8158400000000006</v>
      </c>
      <c r="AO40" s="1">
        <f t="shared" si="65"/>
        <v>4.8158400000000006</v>
      </c>
      <c r="AP40" s="2">
        <f t="shared" si="66"/>
        <v>4.2154730000000002</v>
      </c>
      <c r="AQ40" s="2">
        <f t="shared" si="90"/>
        <v>4.8158400000000006</v>
      </c>
      <c r="AR40" s="1">
        <f t="shared" si="67"/>
        <v>14.22</v>
      </c>
      <c r="AS40" s="2">
        <f t="shared" si="81"/>
        <v>10.5386825</v>
      </c>
      <c r="AT40" s="2">
        <f t="shared" si="68"/>
        <v>4.8158400000000006</v>
      </c>
      <c r="AU40" s="2">
        <v>6.005141550000002</v>
      </c>
      <c r="AV40" s="2">
        <f t="shared" si="91"/>
        <v>4.6370203000000005</v>
      </c>
      <c r="AW40" s="2">
        <f t="shared" si="69"/>
        <v>4.8158400000000006</v>
      </c>
      <c r="AX40" s="1">
        <f t="shared" si="70"/>
        <v>4.5750480000000007</v>
      </c>
      <c r="AY40" s="2" t="str">
        <f t="shared" si="71"/>
        <v>4.24 Per Unit</v>
      </c>
      <c r="AZ40" s="2">
        <f t="shared" si="72"/>
        <v>4.8158400000000006</v>
      </c>
      <c r="BA40" s="2">
        <f t="shared" si="82"/>
        <v>4.8158400000000006</v>
      </c>
      <c r="BB40" s="2">
        <f t="shared" si="83"/>
        <v>4.8158400000000006</v>
      </c>
      <c r="BC40" s="2">
        <f t="shared" si="84"/>
        <v>4.8158400000000006</v>
      </c>
      <c r="BD40" s="2">
        <f t="shared" si="85"/>
        <v>5.2974240000000012</v>
      </c>
      <c r="BE40" s="2">
        <f t="shared" si="86"/>
        <v>4.3342560000000008</v>
      </c>
      <c r="BF40" s="2">
        <f t="shared" si="73"/>
        <v>24.173999999999999</v>
      </c>
      <c r="BG40" s="2">
        <f t="shared" si="74"/>
        <v>4.8158400000000006</v>
      </c>
      <c r="BH40" s="2" t="str">
        <f t="shared" si="75"/>
        <v>4.58 Per Unit</v>
      </c>
      <c r="BI40" s="1">
        <f t="shared" si="76"/>
        <v>5.7790080000000001</v>
      </c>
      <c r="BJ40" s="2">
        <f t="shared" si="77"/>
        <v>4.8158400000000006</v>
      </c>
      <c r="BK40" s="2">
        <f t="shared" si="78"/>
        <v>4.5750480000000007</v>
      </c>
      <c r="BL40" s="2">
        <f t="shared" si="79"/>
        <v>4.8158400000000006</v>
      </c>
      <c r="BM40" s="2">
        <v>4.266</v>
      </c>
      <c r="BN40" s="2">
        <f t="shared" si="80"/>
        <v>4.8158400000000006</v>
      </c>
      <c r="BO40" s="2">
        <f>MIN(N40:BN40:BN40)</f>
        <v>4.2154730000000002</v>
      </c>
      <c r="BP40" s="2">
        <f t="shared" si="87"/>
        <v>24.173999999999999</v>
      </c>
      <c r="BQ40" s="22"/>
    </row>
    <row r="41" spans="1:69" ht="20.100000000000001" customHeight="1" x14ac:dyDescent="0.2">
      <c r="A41" s="17">
        <f t="shared" si="41"/>
        <v>39</v>
      </c>
      <c r="B41" s="24">
        <v>83001</v>
      </c>
      <c r="C41" s="24">
        <v>3018300100</v>
      </c>
      <c r="D41" s="26" t="s">
        <v>111</v>
      </c>
      <c r="E41" s="18" t="s">
        <v>103</v>
      </c>
      <c r="F41" s="33">
        <v>111.48</v>
      </c>
      <c r="G41" s="24">
        <v>301</v>
      </c>
      <c r="H41" s="12">
        <v>0</v>
      </c>
      <c r="I41" s="24">
        <v>0</v>
      </c>
      <c r="J41" s="2">
        <f t="shared" si="45"/>
        <v>24.540464</v>
      </c>
      <c r="K41" s="21" t="s">
        <v>104</v>
      </c>
      <c r="L41" s="2">
        <v>18.877279999999999</v>
      </c>
      <c r="M41" s="2">
        <v>16.431333000000002</v>
      </c>
      <c r="N41" s="1">
        <f>22.23*1.8</f>
        <v>40.014000000000003</v>
      </c>
      <c r="O41" s="2">
        <f t="shared" si="46"/>
        <v>18.877279999999999</v>
      </c>
      <c r="P41" s="1">
        <f t="shared" si="47"/>
        <v>72.462000000000003</v>
      </c>
      <c r="Q41" s="2">
        <f t="shared" si="48"/>
        <v>18.877279999999999</v>
      </c>
      <c r="R41" s="1">
        <f t="shared" si="49"/>
        <v>20.765008000000002</v>
      </c>
      <c r="S41" s="2">
        <f t="shared" si="50"/>
        <v>18.877279999999999</v>
      </c>
      <c r="T41" s="2">
        <v>29.280840000000001</v>
      </c>
      <c r="U41" s="1"/>
      <c r="V41" s="1">
        <v>64.47</v>
      </c>
      <c r="W41" s="2">
        <f t="shared" si="88"/>
        <v>18.877279999999999</v>
      </c>
      <c r="X41" s="2">
        <f t="shared" si="51"/>
        <v>18.877279999999999</v>
      </c>
      <c r="Y41" s="2">
        <f t="shared" si="52"/>
        <v>18.877279999999999</v>
      </c>
      <c r="Z41" s="2">
        <v>27.18</v>
      </c>
      <c r="AA41" s="2">
        <f t="shared" si="53"/>
        <v>17.933415999999998</v>
      </c>
      <c r="AB41" s="2">
        <f t="shared" si="54"/>
        <v>17.933415999999998</v>
      </c>
      <c r="AC41" s="2">
        <f t="shared" si="55"/>
        <v>18.877279999999999</v>
      </c>
      <c r="AD41" s="1">
        <f t="shared" si="56"/>
        <v>19.821144</v>
      </c>
      <c r="AE41" s="2">
        <f t="shared" si="57"/>
        <v>18.877279999999999</v>
      </c>
      <c r="AF41" s="2">
        <f t="shared" si="58"/>
        <v>18.877279999999999</v>
      </c>
      <c r="AG41" s="2">
        <f t="shared" si="59"/>
        <v>17.367097600000001</v>
      </c>
      <c r="AH41" s="1">
        <f t="shared" si="60"/>
        <v>78.036000000000001</v>
      </c>
      <c r="AI41" s="2">
        <f t="shared" si="89"/>
        <v>18.877279999999999</v>
      </c>
      <c r="AJ41" s="2">
        <f t="shared" si="27"/>
        <v>18.877279999999999</v>
      </c>
      <c r="AK41" s="1">
        <f t="shared" si="61"/>
        <v>25.6731008</v>
      </c>
      <c r="AL41" s="2">
        <f t="shared" si="62"/>
        <v>18.877279999999999</v>
      </c>
      <c r="AM41" s="2">
        <f t="shared" si="63"/>
        <v>18.877279999999999</v>
      </c>
      <c r="AN41" s="1">
        <f t="shared" si="64"/>
        <v>18.877279999999999</v>
      </c>
      <c r="AO41" s="1">
        <f t="shared" si="65"/>
        <v>18.877279999999999</v>
      </c>
      <c r="AP41" s="2">
        <f t="shared" si="66"/>
        <v>16.431333000000002</v>
      </c>
      <c r="AQ41" s="2">
        <f t="shared" si="90"/>
        <v>18.877279999999999</v>
      </c>
      <c r="AR41" s="1">
        <f t="shared" si="67"/>
        <v>55.74</v>
      </c>
      <c r="AS41" s="2">
        <f t="shared" si="81"/>
        <v>41.078332500000002</v>
      </c>
      <c r="AT41" s="2">
        <f t="shared" si="68"/>
        <v>18.877279999999999</v>
      </c>
      <c r="AU41" s="2">
        <v>23.539141350000005</v>
      </c>
      <c r="AV41" s="2">
        <f t="shared" si="91"/>
        <v>18.074466300000005</v>
      </c>
      <c r="AW41" s="2">
        <f t="shared" si="69"/>
        <v>18.877279999999999</v>
      </c>
      <c r="AX41" s="1">
        <f t="shared" si="70"/>
        <v>17.933415999999998</v>
      </c>
      <c r="AY41" s="2" t="str">
        <f t="shared" si="71"/>
        <v>16.61 Per Unit</v>
      </c>
      <c r="AZ41" s="2">
        <f t="shared" si="72"/>
        <v>18.877279999999999</v>
      </c>
      <c r="BA41" s="2">
        <f t="shared" si="82"/>
        <v>18.877279999999999</v>
      </c>
      <c r="BB41" s="2">
        <f t="shared" si="83"/>
        <v>18.877279999999999</v>
      </c>
      <c r="BC41" s="2">
        <f t="shared" si="84"/>
        <v>18.877279999999999</v>
      </c>
      <c r="BD41" s="2">
        <f t="shared" si="85"/>
        <v>20.765008000000002</v>
      </c>
      <c r="BE41" s="2">
        <f t="shared" si="86"/>
        <v>16.989552</v>
      </c>
      <c r="BF41" s="2">
        <f t="shared" si="73"/>
        <v>94.757999999999996</v>
      </c>
      <c r="BG41" s="2">
        <f t="shared" si="74"/>
        <v>18.877279999999999</v>
      </c>
      <c r="BH41" s="2" t="str">
        <f t="shared" si="75"/>
        <v>17.93 Per Unit</v>
      </c>
      <c r="BI41" s="1">
        <f t="shared" si="76"/>
        <v>22.652735999999997</v>
      </c>
      <c r="BJ41" s="2">
        <f t="shared" si="77"/>
        <v>18.877279999999999</v>
      </c>
      <c r="BK41" s="2">
        <f t="shared" si="78"/>
        <v>17.933415999999998</v>
      </c>
      <c r="BL41" s="2">
        <f t="shared" si="79"/>
        <v>18.877279999999999</v>
      </c>
      <c r="BM41" s="2">
        <v>16.721999999999998</v>
      </c>
      <c r="BN41" s="2">
        <f t="shared" si="80"/>
        <v>18.877279999999999</v>
      </c>
      <c r="BO41" s="2">
        <f>MIN(N41:BN41:BN41)</f>
        <v>16.431333000000002</v>
      </c>
      <c r="BP41" s="2">
        <f t="shared" si="87"/>
        <v>94.757999999999996</v>
      </c>
      <c r="BQ41" s="22"/>
    </row>
    <row r="42" spans="1:69" ht="20.100000000000001" customHeight="1" x14ac:dyDescent="0.2">
      <c r="A42" s="17">
        <f t="shared" si="41"/>
        <v>40</v>
      </c>
      <c r="B42" s="17">
        <v>85025</v>
      </c>
      <c r="C42" s="24">
        <v>3058502500</v>
      </c>
      <c r="D42" s="19" t="s">
        <v>112</v>
      </c>
      <c r="E42" s="18" t="s">
        <v>103</v>
      </c>
      <c r="F42" s="33">
        <v>46.62</v>
      </c>
      <c r="G42" s="24">
        <v>305</v>
      </c>
      <c r="H42" s="12">
        <v>0</v>
      </c>
      <c r="I42" s="24">
        <v>0</v>
      </c>
      <c r="J42" s="2">
        <f t="shared" si="45"/>
        <v>10.262616</v>
      </c>
      <c r="K42" s="21" t="s">
        <v>104</v>
      </c>
      <c r="L42" s="2">
        <v>7.8943199999999996</v>
      </c>
      <c r="M42" s="2">
        <v>6.7587750000000009</v>
      </c>
      <c r="N42" s="1">
        <f>9.3*1.8</f>
        <v>16.740000000000002</v>
      </c>
      <c r="O42" s="2">
        <f t="shared" si="46"/>
        <v>7.8943199999999996</v>
      </c>
      <c r="P42" s="1">
        <f t="shared" si="47"/>
        <v>30.303000000000001</v>
      </c>
      <c r="Q42" s="2">
        <f t="shared" si="48"/>
        <v>7.8943199999999996</v>
      </c>
      <c r="R42" s="1">
        <f t="shared" si="49"/>
        <v>8.6837520000000001</v>
      </c>
      <c r="S42" s="2">
        <f t="shared" si="50"/>
        <v>7.8943199999999996</v>
      </c>
      <c r="T42" s="2">
        <v>12.253395000000001</v>
      </c>
      <c r="U42" s="1"/>
      <c r="V42" s="1">
        <v>26.96</v>
      </c>
      <c r="W42" s="2">
        <f t="shared" si="88"/>
        <v>7.8943199999999996</v>
      </c>
      <c r="X42" s="2">
        <f t="shared" si="51"/>
        <v>7.8943199999999996</v>
      </c>
      <c r="Y42" s="2">
        <f t="shared" si="52"/>
        <v>7.8943199999999996</v>
      </c>
      <c r="Z42" s="2">
        <v>11.37</v>
      </c>
      <c r="AA42" s="2">
        <f t="shared" si="53"/>
        <v>7.4996039999999988</v>
      </c>
      <c r="AB42" s="2">
        <f t="shared" si="54"/>
        <v>7.4996039999999988</v>
      </c>
      <c r="AC42" s="2">
        <f t="shared" si="55"/>
        <v>7.8943199999999996</v>
      </c>
      <c r="AD42" s="1">
        <f t="shared" si="56"/>
        <v>8.2890359999999994</v>
      </c>
      <c r="AE42" s="2">
        <f t="shared" si="57"/>
        <v>7.8943199999999996</v>
      </c>
      <c r="AF42" s="2">
        <f t="shared" si="58"/>
        <v>7.8943199999999996</v>
      </c>
      <c r="AG42" s="2">
        <f t="shared" si="59"/>
        <v>7.2627743999999996</v>
      </c>
      <c r="AH42" s="1">
        <f t="shared" si="60"/>
        <v>32.633999999999993</v>
      </c>
      <c r="AI42" s="2">
        <f t="shared" si="89"/>
        <v>7.8943199999999996</v>
      </c>
      <c r="AJ42" s="2">
        <f t="shared" si="27"/>
        <v>7.8943199999999996</v>
      </c>
      <c r="AK42" s="1">
        <f t="shared" si="61"/>
        <v>10.7362752</v>
      </c>
      <c r="AL42" s="2">
        <f t="shared" si="62"/>
        <v>7.8943199999999996</v>
      </c>
      <c r="AM42" s="2">
        <f t="shared" si="63"/>
        <v>7.8943199999999996</v>
      </c>
      <c r="AN42" s="1">
        <f t="shared" si="64"/>
        <v>7.8943199999999996</v>
      </c>
      <c r="AO42" s="1">
        <f t="shared" si="65"/>
        <v>7.8943199999999996</v>
      </c>
      <c r="AP42" s="2">
        <f t="shared" si="66"/>
        <v>6.7587750000000009</v>
      </c>
      <c r="AQ42" s="2">
        <f t="shared" si="90"/>
        <v>7.8943199999999996</v>
      </c>
      <c r="AR42" s="1">
        <f t="shared" si="67"/>
        <v>23.31</v>
      </c>
      <c r="AS42" s="2">
        <f t="shared" si="81"/>
        <v>16.896937500000003</v>
      </c>
      <c r="AT42" s="2">
        <f t="shared" si="68"/>
        <v>7.8943199999999996</v>
      </c>
      <c r="AU42" s="2">
        <v>9.8438712750000015</v>
      </c>
      <c r="AV42" s="2">
        <f t="shared" si="91"/>
        <v>7.4346525000000012</v>
      </c>
      <c r="AW42" s="2">
        <f t="shared" si="69"/>
        <v>7.8943199999999996</v>
      </c>
      <c r="AX42" s="1">
        <f t="shared" si="70"/>
        <v>7.4996039999999988</v>
      </c>
      <c r="AY42" s="2" t="str">
        <f t="shared" si="71"/>
        <v>6.95 Per Unit</v>
      </c>
      <c r="AZ42" s="2">
        <f t="shared" si="72"/>
        <v>7.8943199999999996</v>
      </c>
      <c r="BA42" s="2">
        <f t="shared" si="82"/>
        <v>7.8943199999999996</v>
      </c>
      <c r="BB42" s="2">
        <f t="shared" si="83"/>
        <v>7.8943199999999996</v>
      </c>
      <c r="BC42" s="2">
        <f t="shared" si="84"/>
        <v>7.8943199999999996</v>
      </c>
      <c r="BD42" s="2">
        <f t="shared" si="85"/>
        <v>8.6837520000000001</v>
      </c>
      <c r="BE42" s="2">
        <f t="shared" si="86"/>
        <v>7.1048879999999999</v>
      </c>
      <c r="BF42" s="2">
        <f t="shared" si="73"/>
        <v>39.626999999999995</v>
      </c>
      <c r="BG42" s="2">
        <f t="shared" si="74"/>
        <v>7.8943199999999996</v>
      </c>
      <c r="BH42" s="2" t="str">
        <f t="shared" si="75"/>
        <v>7.5 Per Unit</v>
      </c>
      <c r="BI42" s="1">
        <f t="shared" si="76"/>
        <v>9.4731839999999998</v>
      </c>
      <c r="BJ42" s="2">
        <f t="shared" si="77"/>
        <v>7.8943199999999996</v>
      </c>
      <c r="BK42" s="2">
        <f t="shared" si="78"/>
        <v>7.4996039999999988</v>
      </c>
      <c r="BL42" s="2">
        <f t="shared" si="79"/>
        <v>7.8943199999999996</v>
      </c>
      <c r="BM42" s="2">
        <v>6.9929999999999994</v>
      </c>
      <c r="BN42" s="2">
        <f t="shared" si="80"/>
        <v>7.8943199999999996</v>
      </c>
      <c r="BO42" s="2">
        <f>MIN(N42:BN42:BN42)</f>
        <v>6.7587750000000009</v>
      </c>
      <c r="BP42" s="2">
        <f t="shared" si="87"/>
        <v>39.626999999999995</v>
      </c>
      <c r="BQ42" s="22"/>
    </row>
    <row r="43" spans="1:69" ht="20.100000000000001" customHeight="1" x14ac:dyDescent="0.2">
      <c r="A43" s="17">
        <f t="shared" si="41"/>
        <v>41</v>
      </c>
      <c r="B43" s="17">
        <v>83036</v>
      </c>
      <c r="C43" s="24">
        <v>3018303600</v>
      </c>
      <c r="D43" s="19" t="s">
        <v>113</v>
      </c>
      <c r="E43" s="18" t="s">
        <v>103</v>
      </c>
      <c r="F43" s="33">
        <v>58.26</v>
      </c>
      <c r="G43" s="24">
        <v>301</v>
      </c>
      <c r="H43" s="12">
        <v>0</v>
      </c>
      <c r="I43" s="24">
        <v>0</v>
      </c>
      <c r="J43" s="2">
        <f t="shared" si="45"/>
        <v>12.824968000000002</v>
      </c>
      <c r="K43" s="21" t="s">
        <v>104</v>
      </c>
      <c r="L43" s="2">
        <v>9.8653600000000008</v>
      </c>
      <c r="M43" s="2">
        <v>8.5511020000000002</v>
      </c>
      <c r="N43" s="1">
        <f>11.61*1.8</f>
        <v>20.898</v>
      </c>
      <c r="O43" s="2">
        <f t="shared" si="46"/>
        <v>9.8653600000000008</v>
      </c>
      <c r="P43" s="1">
        <f t="shared" si="47"/>
        <v>37.869</v>
      </c>
      <c r="Q43" s="2">
        <f t="shared" si="48"/>
        <v>9.8653600000000008</v>
      </c>
      <c r="R43" s="1">
        <f t="shared" si="49"/>
        <v>10.851896000000002</v>
      </c>
      <c r="S43" s="2">
        <f t="shared" si="50"/>
        <v>9.8653600000000008</v>
      </c>
      <c r="T43" s="2">
        <v>15.298178000000002</v>
      </c>
      <c r="U43" s="1"/>
      <c r="V43" s="1">
        <v>33.69</v>
      </c>
      <c r="W43" s="2">
        <f t="shared" si="88"/>
        <v>9.8653600000000008</v>
      </c>
      <c r="X43" s="2">
        <f t="shared" si="51"/>
        <v>9.8653600000000008</v>
      </c>
      <c r="Y43" s="2">
        <f t="shared" si="52"/>
        <v>9.8653600000000008</v>
      </c>
      <c r="Z43" s="2">
        <v>14.21</v>
      </c>
      <c r="AA43" s="2">
        <f t="shared" si="53"/>
        <v>9.3720920000000003</v>
      </c>
      <c r="AB43" s="2">
        <f t="shared" si="54"/>
        <v>9.3720920000000003</v>
      </c>
      <c r="AC43" s="2">
        <f t="shared" si="55"/>
        <v>9.8653600000000008</v>
      </c>
      <c r="AD43" s="1">
        <f t="shared" si="56"/>
        <v>10.358628000000001</v>
      </c>
      <c r="AE43" s="2">
        <f t="shared" si="57"/>
        <v>9.8653600000000008</v>
      </c>
      <c r="AF43" s="2">
        <f t="shared" si="58"/>
        <v>9.8653600000000008</v>
      </c>
      <c r="AG43" s="2">
        <f t="shared" si="59"/>
        <v>9.0761312000000007</v>
      </c>
      <c r="AH43" s="1">
        <f t="shared" si="60"/>
        <v>40.781999999999996</v>
      </c>
      <c r="AI43" s="2">
        <f t="shared" si="89"/>
        <v>9.8653600000000008</v>
      </c>
      <c r="AJ43" s="2">
        <f t="shared" si="27"/>
        <v>9.8653600000000008</v>
      </c>
      <c r="AK43" s="1">
        <f t="shared" si="61"/>
        <v>13.416889600000003</v>
      </c>
      <c r="AL43" s="2">
        <f t="shared" si="62"/>
        <v>9.8653600000000008</v>
      </c>
      <c r="AM43" s="2">
        <f t="shared" si="63"/>
        <v>9.8653600000000008</v>
      </c>
      <c r="AN43" s="1">
        <f t="shared" si="64"/>
        <v>9.8653600000000008</v>
      </c>
      <c r="AO43" s="1">
        <f t="shared" si="65"/>
        <v>9.8653600000000008</v>
      </c>
      <c r="AP43" s="2">
        <f t="shared" si="66"/>
        <v>8.5511020000000002</v>
      </c>
      <c r="AQ43" s="2">
        <f t="shared" si="90"/>
        <v>9.8653600000000008</v>
      </c>
      <c r="AR43" s="1">
        <f t="shared" si="67"/>
        <v>29.13</v>
      </c>
      <c r="AS43" s="2">
        <f t="shared" si="81"/>
        <v>21.377755000000001</v>
      </c>
      <c r="AT43" s="2">
        <f t="shared" si="68"/>
        <v>9.8653600000000008</v>
      </c>
      <c r="AU43" s="2">
        <v>12.301671825000003</v>
      </c>
      <c r="AV43" s="2">
        <f t="shared" si="91"/>
        <v>9.4062122000000006</v>
      </c>
      <c r="AW43" s="2">
        <f t="shared" si="69"/>
        <v>9.8653600000000008</v>
      </c>
      <c r="AX43" s="1">
        <f t="shared" si="70"/>
        <v>9.3720920000000003</v>
      </c>
      <c r="AY43" s="2" t="str">
        <f t="shared" si="71"/>
        <v>8.68 Per Unit</v>
      </c>
      <c r="AZ43" s="2">
        <f t="shared" si="72"/>
        <v>9.8653600000000008</v>
      </c>
      <c r="BA43" s="2">
        <f t="shared" si="82"/>
        <v>9.8653600000000008</v>
      </c>
      <c r="BB43" s="2">
        <f t="shared" si="83"/>
        <v>9.8653600000000008</v>
      </c>
      <c r="BC43" s="2">
        <f t="shared" si="84"/>
        <v>9.8653600000000008</v>
      </c>
      <c r="BD43" s="2">
        <f t="shared" si="85"/>
        <v>10.851896000000002</v>
      </c>
      <c r="BE43" s="2">
        <f t="shared" si="86"/>
        <v>8.8788240000000016</v>
      </c>
      <c r="BF43" s="2">
        <f t="shared" si="73"/>
        <v>49.520999999999994</v>
      </c>
      <c r="BG43" s="2">
        <f t="shared" si="74"/>
        <v>9.8653600000000008</v>
      </c>
      <c r="BH43" s="2" t="str">
        <f t="shared" si="75"/>
        <v>9.37 Per Unit</v>
      </c>
      <c r="BI43" s="1">
        <f t="shared" si="76"/>
        <v>11.838432000000001</v>
      </c>
      <c r="BJ43" s="2">
        <f t="shared" si="77"/>
        <v>9.8653600000000008</v>
      </c>
      <c r="BK43" s="2">
        <f t="shared" si="78"/>
        <v>9.3720920000000003</v>
      </c>
      <c r="BL43" s="2">
        <f t="shared" si="79"/>
        <v>9.8653600000000008</v>
      </c>
      <c r="BM43" s="2">
        <v>8.7390000000000008</v>
      </c>
      <c r="BN43" s="2">
        <f t="shared" si="80"/>
        <v>9.8653600000000008</v>
      </c>
      <c r="BO43" s="2">
        <f>MIN(N43:BN43:BN43)</f>
        <v>8.5511020000000002</v>
      </c>
      <c r="BP43" s="2">
        <f t="shared" si="87"/>
        <v>49.520999999999994</v>
      </c>
      <c r="BQ43" s="22"/>
    </row>
    <row r="44" spans="1:69" ht="20.100000000000001" customHeight="1" x14ac:dyDescent="0.2">
      <c r="A44" s="17">
        <f t="shared" si="41"/>
        <v>42</v>
      </c>
      <c r="B44" s="21">
        <v>82306</v>
      </c>
      <c r="C44" s="24">
        <v>3018230600</v>
      </c>
      <c r="D44" s="19" t="s">
        <v>114</v>
      </c>
      <c r="E44" s="18" t="s">
        <v>103</v>
      </c>
      <c r="F44" s="33">
        <v>177.6</v>
      </c>
      <c r="G44" s="24">
        <v>301</v>
      </c>
      <c r="H44" s="12">
        <v>0</v>
      </c>
      <c r="I44" s="24">
        <v>0</v>
      </c>
      <c r="J44" s="2">
        <f t="shared" si="45"/>
        <v>39.095680000000002</v>
      </c>
      <c r="K44" s="21" t="s">
        <v>104</v>
      </c>
      <c r="L44" s="2">
        <v>30.073600000000003</v>
      </c>
      <c r="M44" s="2">
        <v>24.822227000000002</v>
      </c>
      <c r="N44" s="1">
        <f>35.41*1.8</f>
        <v>63.737999999999992</v>
      </c>
      <c r="O44" s="2">
        <f t="shared" si="46"/>
        <v>30.073600000000003</v>
      </c>
      <c r="P44" s="1">
        <f t="shared" si="47"/>
        <v>115.44</v>
      </c>
      <c r="Q44" s="2">
        <f t="shared" si="48"/>
        <v>30.073600000000003</v>
      </c>
      <c r="R44" s="1">
        <f t="shared" si="49"/>
        <v>33.080960000000005</v>
      </c>
      <c r="S44" s="2">
        <f t="shared" si="50"/>
        <v>30.073600000000003</v>
      </c>
      <c r="T44" s="2">
        <v>46.647773000000001</v>
      </c>
      <c r="U44" s="1"/>
      <c r="V44" s="1">
        <v>102.71</v>
      </c>
      <c r="W44" s="2">
        <f t="shared" si="88"/>
        <v>30.073600000000003</v>
      </c>
      <c r="X44" s="2">
        <f t="shared" si="51"/>
        <v>30.073600000000003</v>
      </c>
      <c r="Y44" s="2">
        <f t="shared" si="52"/>
        <v>30.073600000000003</v>
      </c>
      <c r="Z44" s="2">
        <v>43.29</v>
      </c>
      <c r="AA44" s="2">
        <f t="shared" si="53"/>
        <v>28.56992</v>
      </c>
      <c r="AB44" s="2">
        <f t="shared" si="54"/>
        <v>28.56992</v>
      </c>
      <c r="AC44" s="2">
        <f t="shared" si="55"/>
        <v>30.073600000000003</v>
      </c>
      <c r="AD44" s="1">
        <f t="shared" si="56"/>
        <v>31.577280000000005</v>
      </c>
      <c r="AE44" s="2">
        <f t="shared" si="57"/>
        <v>30.073600000000003</v>
      </c>
      <c r="AF44" s="2">
        <f t="shared" si="58"/>
        <v>30.073600000000003</v>
      </c>
      <c r="AG44" s="2">
        <f t="shared" si="59"/>
        <v>27.667712000000005</v>
      </c>
      <c r="AH44" s="1">
        <f t="shared" si="60"/>
        <v>124.32</v>
      </c>
      <c r="AI44" s="2">
        <f t="shared" si="89"/>
        <v>30.073600000000003</v>
      </c>
      <c r="AJ44" s="2">
        <f t="shared" si="27"/>
        <v>30.073600000000003</v>
      </c>
      <c r="AK44" s="1">
        <f t="shared" si="61"/>
        <v>40.900096000000005</v>
      </c>
      <c r="AL44" s="2">
        <f t="shared" si="62"/>
        <v>30.073600000000003</v>
      </c>
      <c r="AM44" s="2">
        <f t="shared" si="63"/>
        <v>30.073600000000003</v>
      </c>
      <c r="AN44" s="1">
        <f t="shared" si="64"/>
        <v>30.073600000000003</v>
      </c>
      <c r="AO44" s="1">
        <f t="shared" si="65"/>
        <v>30.073600000000003</v>
      </c>
      <c r="AP44" s="2">
        <f t="shared" si="66"/>
        <v>24.822227000000002</v>
      </c>
      <c r="AQ44" s="2">
        <f t="shared" si="90"/>
        <v>30.073600000000003</v>
      </c>
      <c r="AR44" s="1">
        <f t="shared" si="67"/>
        <v>88.8</v>
      </c>
      <c r="AS44" s="2">
        <f t="shared" si="81"/>
        <v>62.055567500000002</v>
      </c>
      <c r="AT44" s="2">
        <f t="shared" si="68"/>
        <v>30.073600000000003</v>
      </c>
      <c r="AU44" s="2">
        <v>37.500462000000013</v>
      </c>
      <c r="AV44" s="2">
        <f t="shared" si="91"/>
        <v>27.304449700000003</v>
      </c>
      <c r="AW44" s="2">
        <f t="shared" si="69"/>
        <v>30.073600000000003</v>
      </c>
      <c r="AX44" s="1">
        <f t="shared" si="70"/>
        <v>28.56992</v>
      </c>
      <c r="AY44" s="2" t="str">
        <f t="shared" si="71"/>
        <v>26.46 Per Unit</v>
      </c>
      <c r="AZ44" s="2">
        <f t="shared" si="72"/>
        <v>30.073600000000003</v>
      </c>
      <c r="BA44" s="2">
        <f t="shared" si="82"/>
        <v>30.073600000000003</v>
      </c>
      <c r="BB44" s="2">
        <f t="shared" si="83"/>
        <v>30.073600000000003</v>
      </c>
      <c r="BC44" s="2">
        <f t="shared" si="84"/>
        <v>30.073600000000003</v>
      </c>
      <c r="BD44" s="2">
        <f t="shared" si="85"/>
        <v>33.080960000000005</v>
      </c>
      <c r="BE44" s="2">
        <f t="shared" si="86"/>
        <v>27.066240000000004</v>
      </c>
      <c r="BF44" s="2">
        <f t="shared" si="73"/>
        <v>150.95999999999998</v>
      </c>
      <c r="BG44" s="2">
        <f t="shared" si="74"/>
        <v>30.073600000000003</v>
      </c>
      <c r="BH44" s="2" t="str">
        <f t="shared" si="75"/>
        <v>28.57 Per Unit</v>
      </c>
      <c r="BI44" s="1">
        <f t="shared" si="76"/>
        <v>36.088320000000003</v>
      </c>
      <c r="BJ44" s="2">
        <f t="shared" si="77"/>
        <v>30.073600000000003</v>
      </c>
      <c r="BK44" s="2">
        <f t="shared" si="78"/>
        <v>28.56992</v>
      </c>
      <c r="BL44" s="2">
        <f t="shared" si="79"/>
        <v>30.073600000000003</v>
      </c>
      <c r="BM44" s="2">
        <v>26.64</v>
      </c>
      <c r="BN44" s="2">
        <f t="shared" si="80"/>
        <v>30.073600000000003</v>
      </c>
      <c r="BO44" s="2">
        <f>MIN(N44:BN44:BN44)</f>
        <v>24.822227000000002</v>
      </c>
      <c r="BP44" s="2">
        <f t="shared" si="87"/>
        <v>150.95999999999998</v>
      </c>
      <c r="BQ44" s="22"/>
    </row>
    <row r="45" spans="1:69" ht="20.100000000000001" customHeight="1" x14ac:dyDescent="0.2">
      <c r="A45" s="17">
        <f t="shared" si="41"/>
        <v>43</v>
      </c>
      <c r="B45" s="24">
        <v>83880</v>
      </c>
      <c r="C45" s="24">
        <v>3018388000</v>
      </c>
      <c r="D45" s="26" t="s">
        <v>115</v>
      </c>
      <c r="E45" s="18" t="s">
        <v>103</v>
      </c>
      <c r="F45" s="33">
        <v>235.56</v>
      </c>
      <c r="G45" s="24">
        <v>301</v>
      </c>
      <c r="H45" s="12">
        <v>0</v>
      </c>
      <c r="I45" s="24">
        <v>0</v>
      </c>
      <c r="J45" s="2">
        <f t="shared" si="45"/>
        <v>51.854607999999999</v>
      </c>
      <c r="K45" s="21" t="s">
        <v>104</v>
      </c>
      <c r="L45" s="2">
        <v>39.888159999999999</v>
      </c>
      <c r="M45" s="2">
        <v>30.189195000000002</v>
      </c>
      <c r="N45" s="1">
        <f>40.6*1.8</f>
        <v>73.08</v>
      </c>
      <c r="O45" s="2">
        <f t="shared" si="46"/>
        <v>39.888159999999999</v>
      </c>
      <c r="P45" s="1">
        <f t="shared" si="47"/>
        <v>153.114</v>
      </c>
      <c r="Q45" s="2">
        <f t="shared" si="48"/>
        <v>39.888159999999999</v>
      </c>
      <c r="R45" s="1">
        <f t="shared" si="49"/>
        <v>43.876975999999999</v>
      </c>
      <c r="S45" s="2">
        <f t="shared" si="50"/>
        <v>39.888159999999999</v>
      </c>
      <c r="T45" s="2">
        <v>53.501187000000002</v>
      </c>
      <c r="U45" s="1"/>
      <c r="V45" s="1">
        <v>136.22999999999999</v>
      </c>
      <c r="W45" s="2">
        <f t="shared" si="88"/>
        <v>39.888159999999999</v>
      </c>
      <c r="X45" s="2">
        <f t="shared" si="51"/>
        <v>39.888159999999999</v>
      </c>
      <c r="Y45" s="2">
        <f t="shared" si="52"/>
        <v>39.888159999999999</v>
      </c>
      <c r="Z45" s="2">
        <v>57.42</v>
      </c>
      <c r="AA45" s="2">
        <f t="shared" si="53"/>
        <v>37.893751999999999</v>
      </c>
      <c r="AB45" s="2">
        <f t="shared" si="54"/>
        <v>37.893751999999999</v>
      </c>
      <c r="AC45" s="2">
        <f t="shared" si="55"/>
        <v>39.888159999999999</v>
      </c>
      <c r="AD45" s="1">
        <f t="shared" si="56"/>
        <v>41.882567999999999</v>
      </c>
      <c r="AE45" s="2">
        <f t="shared" si="57"/>
        <v>39.888159999999999</v>
      </c>
      <c r="AF45" s="2">
        <f t="shared" si="58"/>
        <v>39.888159999999999</v>
      </c>
      <c r="AG45" s="2">
        <f t="shared" si="59"/>
        <v>36.697107199999998</v>
      </c>
      <c r="AH45" s="1">
        <f t="shared" si="60"/>
        <v>164.892</v>
      </c>
      <c r="AI45" s="2">
        <f t="shared" si="89"/>
        <v>39.888159999999999</v>
      </c>
      <c r="AJ45" s="2">
        <f t="shared" si="27"/>
        <v>39.888159999999999</v>
      </c>
      <c r="AK45" s="1">
        <f t="shared" si="61"/>
        <v>54.247897600000002</v>
      </c>
      <c r="AL45" s="2">
        <f t="shared" si="62"/>
        <v>39.888159999999999</v>
      </c>
      <c r="AM45" s="2">
        <f t="shared" si="63"/>
        <v>39.888159999999999</v>
      </c>
      <c r="AN45" s="1">
        <f t="shared" si="64"/>
        <v>39.888159999999999</v>
      </c>
      <c r="AO45" s="1">
        <f t="shared" si="65"/>
        <v>39.888159999999999</v>
      </c>
      <c r="AP45" s="2">
        <f t="shared" si="66"/>
        <v>30.189195000000002</v>
      </c>
      <c r="AQ45" s="2">
        <f t="shared" si="90"/>
        <v>39.888159999999999</v>
      </c>
      <c r="AR45" s="1">
        <f t="shared" si="67"/>
        <v>117.78</v>
      </c>
      <c r="AS45" s="2">
        <f t="shared" si="81"/>
        <v>75.472987500000002</v>
      </c>
      <c r="AT45" s="2">
        <f t="shared" si="68"/>
        <v>39.888159999999999</v>
      </c>
      <c r="AU45" s="2">
        <v>49.738788450000008</v>
      </c>
      <c r="AV45" s="2">
        <f t="shared" si="91"/>
        <v>33.208114500000008</v>
      </c>
      <c r="AW45" s="2">
        <f t="shared" si="69"/>
        <v>39.888159999999999</v>
      </c>
      <c r="AX45" s="1">
        <f t="shared" si="70"/>
        <v>37.893751999999999</v>
      </c>
      <c r="AY45" s="2" t="str">
        <f t="shared" si="71"/>
        <v>35.1 Per Unit</v>
      </c>
      <c r="AZ45" s="2">
        <f t="shared" si="72"/>
        <v>39.888159999999999</v>
      </c>
      <c r="BA45" s="2">
        <f t="shared" si="82"/>
        <v>39.888159999999999</v>
      </c>
      <c r="BB45" s="2">
        <f t="shared" si="83"/>
        <v>39.888159999999999</v>
      </c>
      <c r="BC45" s="2">
        <f t="shared" si="84"/>
        <v>39.888159999999999</v>
      </c>
      <c r="BD45" s="2">
        <f t="shared" si="85"/>
        <v>43.876975999999999</v>
      </c>
      <c r="BE45" s="2">
        <f t="shared" si="86"/>
        <v>35.899343999999999</v>
      </c>
      <c r="BF45" s="2">
        <f t="shared" si="73"/>
        <v>200.226</v>
      </c>
      <c r="BG45" s="2">
        <f t="shared" si="74"/>
        <v>39.888159999999999</v>
      </c>
      <c r="BH45" s="2" t="str">
        <f t="shared" si="75"/>
        <v>37.89 Per Unit</v>
      </c>
      <c r="BI45" s="1">
        <f t="shared" si="76"/>
        <v>47.865791999999999</v>
      </c>
      <c r="BJ45" s="2">
        <f t="shared" si="77"/>
        <v>39.888159999999999</v>
      </c>
      <c r="BK45" s="2">
        <f t="shared" si="78"/>
        <v>37.893751999999999</v>
      </c>
      <c r="BL45" s="2">
        <f t="shared" si="79"/>
        <v>39.888159999999999</v>
      </c>
      <c r="BM45" s="2">
        <v>35.333999999999996</v>
      </c>
      <c r="BN45" s="2">
        <f t="shared" si="80"/>
        <v>39.888159999999999</v>
      </c>
      <c r="BO45" s="2">
        <f>MIN(N45:BN45:BN45)</f>
        <v>30.189195000000002</v>
      </c>
      <c r="BP45" s="2">
        <f t="shared" si="87"/>
        <v>200.226</v>
      </c>
      <c r="BQ45" s="22"/>
    </row>
    <row r="46" spans="1:69" ht="20.100000000000001" customHeight="1" x14ac:dyDescent="0.2">
      <c r="A46" s="17">
        <f t="shared" si="41"/>
        <v>44</v>
      </c>
      <c r="B46" s="24">
        <v>84403</v>
      </c>
      <c r="C46" s="24">
        <v>3018440300</v>
      </c>
      <c r="D46" s="26" t="s">
        <v>116</v>
      </c>
      <c r="E46" s="18" t="s">
        <v>103</v>
      </c>
      <c r="F46" s="33">
        <v>154.86000000000001</v>
      </c>
      <c r="G46" s="24">
        <v>301</v>
      </c>
      <c r="H46" s="12">
        <v>0</v>
      </c>
      <c r="I46" s="24">
        <v>0</v>
      </c>
      <c r="J46" s="2">
        <f t="shared" si="45"/>
        <v>34.089848000000003</v>
      </c>
      <c r="K46" s="21" t="s">
        <v>104</v>
      </c>
      <c r="L46" s="2">
        <v>26.22296</v>
      </c>
      <c r="M46" s="2">
        <v>22.829640000000001</v>
      </c>
      <c r="N46" s="1">
        <f>30.88*1.8</f>
        <v>55.583999999999996</v>
      </c>
      <c r="O46" s="2">
        <f t="shared" si="46"/>
        <v>26.22296</v>
      </c>
      <c r="P46" s="1">
        <f t="shared" si="47"/>
        <v>100.65900000000001</v>
      </c>
      <c r="Q46" s="2">
        <f t="shared" si="48"/>
        <v>26.22296</v>
      </c>
      <c r="R46" s="1">
        <f t="shared" si="49"/>
        <v>28.845256000000003</v>
      </c>
      <c r="S46" s="2">
        <f t="shared" si="50"/>
        <v>26.22296</v>
      </c>
      <c r="T46" s="2">
        <v>40.674906</v>
      </c>
      <c r="U46" s="1"/>
      <c r="V46" s="1">
        <v>89.56</v>
      </c>
      <c r="W46" s="2">
        <f t="shared" si="88"/>
        <v>26.22296</v>
      </c>
      <c r="X46" s="2">
        <f t="shared" si="51"/>
        <v>26.22296</v>
      </c>
      <c r="Y46" s="2">
        <f t="shared" si="52"/>
        <v>26.22296</v>
      </c>
      <c r="Z46" s="2">
        <v>37.76</v>
      </c>
      <c r="AA46" s="2">
        <f t="shared" si="53"/>
        <v>24.911811999999998</v>
      </c>
      <c r="AB46" s="2">
        <f t="shared" si="54"/>
        <v>24.911811999999998</v>
      </c>
      <c r="AC46" s="2">
        <f t="shared" si="55"/>
        <v>26.22296</v>
      </c>
      <c r="AD46" s="1">
        <f t="shared" si="56"/>
        <v>27.534108000000003</v>
      </c>
      <c r="AE46" s="2">
        <f t="shared" si="57"/>
        <v>26.22296</v>
      </c>
      <c r="AF46" s="2">
        <f t="shared" si="58"/>
        <v>26.22296</v>
      </c>
      <c r="AG46" s="2">
        <f t="shared" si="59"/>
        <v>24.125123200000001</v>
      </c>
      <c r="AH46" s="1">
        <f t="shared" si="60"/>
        <v>108.402</v>
      </c>
      <c r="AI46" s="2">
        <f t="shared" si="89"/>
        <v>26.22296</v>
      </c>
      <c r="AJ46" s="2">
        <f t="shared" si="27"/>
        <v>26.22296</v>
      </c>
      <c r="AK46" s="1">
        <f t="shared" si="61"/>
        <v>35.663225600000004</v>
      </c>
      <c r="AL46" s="2">
        <f t="shared" si="62"/>
        <v>26.22296</v>
      </c>
      <c r="AM46" s="2">
        <f t="shared" si="63"/>
        <v>26.22296</v>
      </c>
      <c r="AN46" s="1">
        <f t="shared" si="64"/>
        <v>26.22296</v>
      </c>
      <c r="AO46" s="1">
        <f t="shared" si="65"/>
        <v>26.22296</v>
      </c>
      <c r="AP46" s="2">
        <f t="shared" si="66"/>
        <v>22.829640000000001</v>
      </c>
      <c r="AQ46" s="2">
        <f t="shared" si="90"/>
        <v>26.22296</v>
      </c>
      <c r="AR46" s="1">
        <f t="shared" si="67"/>
        <v>77.430000000000007</v>
      </c>
      <c r="AS46" s="2">
        <f t="shared" si="81"/>
        <v>57.074100000000001</v>
      </c>
      <c r="AT46" s="2">
        <f t="shared" si="68"/>
        <v>26.22296</v>
      </c>
      <c r="AU46" s="2">
        <v>32.698882575000013</v>
      </c>
      <c r="AV46" s="2">
        <f t="shared" si="91"/>
        <v>25.112604000000005</v>
      </c>
      <c r="AW46" s="2">
        <f t="shared" si="69"/>
        <v>26.22296</v>
      </c>
      <c r="AX46" s="1">
        <f t="shared" si="70"/>
        <v>24.911811999999998</v>
      </c>
      <c r="AY46" s="2" t="str">
        <f t="shared" si="71"/>
        <v>23.08 Per Unit</v>
      </c>
      <c r="AZ46" s="2">
        <f t="shared" si="72"/>
        <v>26.22296</v>
      </c>
      <c r="BA46" s="2">
        <f t="shared" si="82"/>
        <v>26.22296</v>
      </c>
      <c r="BB46" s="2">
        <f t="shared" si="83"/>
        <v>26.22296</v>
      </c>
      <c r="BC46" s="2">
        <f t="shared" si="84"/>
        <v>26.22296</v>
      </c>
      <c r="BD46" s="2">
        <f t="shared" si="85"/>
        <v>28.845256000000003</v>
      </c>
      <c r="BE46" s="2">
        <f t="shared" si="86"/>
        <v>23.600664000000002</v>
      </c>
      <c r="BF46" s="2">
        <f t="shared" si="73"/>
        <v>131.631</v>
      </c>
      <c r="BG46" s="2">
        <f t="shared" si="74"/>
        <v>26.22296</v>
      </c>
      <c r="BH46" s="2" t="str">
        <f t="shared" si="75"/>
        <v>24.91 Per Unit</v>
      </c>
      <c r="BI46" s="1">
        <f t="shared" si="76"/>
        <v>31.467551999999998</v>
      </c>
      <c r="BJ46" s="2">
        <f t="shared" si="77"/>
        <v>26.22296</v>
      </c>
      <c r="BK46" s="2">
        <f t="shared" si="78"/>
        <v>24.911811999999998</v>
      </c>
      <c r="BL46" s="2">
        <f t="shared" si="79"/>
        <v>26.22296</v>
      </c>
      <c r="BM46" s="2">
        <v>23.228999999999999</v>
      </c>
      <c r="BN46" s="2">
        <f t="shared" si="80"/>
        <v>26.22296</v>
      </c>
      <c r="BO46" s="2">
        <f>MIN(N46:BN46:BN46)</f>
        <v>22.829640000000001</v>
      </c>
      <c r="BP46" s="2">
        <f t="shared" si="87"/>
        <v>131.631</v>
      </c>
      <c r="BQ46" s="22"/>
    </row>
    <row r="47" spans="1:69" ht="20.100000000000001" customHeight="1" x14ac:dyDescent="0.2">
      <c r="A47" s="17">
        <f t="shared" si="41"/>
        <v>45</v>
      </c>
      <c r="B47" s="24">
        <v>82746</v>
      </c>
      <c r="C47" s="24">
        <v>3018274600</v>
      </c>
      <c r="D47" s="26" t="s">
        <v>117</v>
      </c>
      <c r="E47" s="18" t="s">
        <v>103</v>
      </c>
      <c r="F47" s="33">
        <v>88.2</v>
      </c>
      <c r="G47" s="24">
        <v>301</v>
      </c>
      <c r="H47" s="12">
        <v>0</v>
      </c>
      <c r="I47" s="24">
        <v>0</v>
      </c>
      <c r="J47" s="2">
        <f t="shared" si="45"/>
        <v>19.415760000000002</v>
      </c>
      <c r="K47" s="21" t="s">
        <v>104</v>
      </c>
      <c r="L47" s="2">
        <v>14.9352</v>
      </c>
      <c r="M47" s="2">
        <v>13.086991000000001</v>
      </c>
      <c r="N47" s="1">
        <f>17.59*1.8</f>
        <v>31.661999999999999</v>
      </c>
      <c r="O47" s="2">
        <f t="shared" si="46"/>
        <v>14.9352</v>
      </c>
      <c r="P47" s="1">
        <f t="shared" si="47"/>
        <v>57.330000000000005</v>
      </c>
      <c r="Q47" s="2">
        <f t="shared" si="48"/>
        <v>14.9352</v>
      </c>
      <c r="R47" s="1">
        <f t="shared" si="49"/>
        <v>16.428720000000002</v>
      </c>
      <c r="S47" s="2">
        <f t="shared" si="50"/>
        <v>14.9352</v>
      </c>
      <c r="T47" s="2">
        <v>23.170056000000002</v>
      </c>
      <c r="U47" s="1"/>
      <c r="V47" s="1">
        <v>51.01</v>
      </c>
      <c r="W47" s="2">
        <f t="shared" si="88"/>
        <v>14.9352</v>
      </c>
      <c r="X47" s="2">
        <f t="shared" si="51"/>
        <v>14.9352</v>
      </c>
      <c r="Y47" s="2">
        <f t="shared" si="52"/>
        <v>14.9352</v>
      </c>
      <c r="Z47" s="2">
        <v>21.51</v>
      </c>
      <c r="AA47" s="2">
        <f t="shared" si="53"/>
        <v>14.18844</v>
      </c>
      <c r="AB47" s="2">
        <f t="shared" si="54"/>
        <v>14.18844</v>
      </c>
      <c r="AC47" s="2">
        <f t="shared" si="55"/>
        <v>14.9352</v>
      </c>
      <c r="AD47" s="1">
        <f t="shared" si="56"/>
        <v>15.68196</v>
      </c>
      <c r="AE47" s="2">
        <f t="shared" si="57"/>
        <v>14.9352</v>
      </c>
      <c r="AF47" s="2">
        <f t="shared" si="58"/>
        <v>14.9352</v>
      </c>
      <c r="AG47" s="2">
        <f t="shared" si="59"/>
        <v>13.740384000000001</v>
      </c>
      <c r="AH47" s="1">
        <f t="shared" si="60"/>
        <v>61.739999999999995</v>
      </c>
      <c r="AI47" s="2">
        <f t="shared" si="89"/>
        <v>14.9352</v>
      </c>
      <c r="AJ47" s="2">
        <f t="shared" si="27"/>
        <v>14.9352</v>
      </c>
      <c r="AK47" s="1">
        <f t="shared" si="61"/>
        <v>20.311872000000001</v>
      </c>
      <c r="AL47" s="2">
        <f t="shared" si="62"/>
        <v>14.9352</v>
      </c>
      <c r="AM47" s="2">
        <f t="shared" si="63"/>
        <v>14.9352</v>
      </c>
      <c r="AN47" s="1">
        <f t="shared" si="64"/>
        <v>14.9352</v>
      </c>
      <c r="AO47" s="1">
        <f t="shared" si="65"/>
        <v>14.9352</v>
      </c>
      <c r="AP47" s="2">
        <f t="shared" si="66"/>
        <v>13.086991000000001</v>
      </c>
      <c r="AQ47" s="2">
        <f t="shared" si="90"/>
        <v>14.9352</v>
      </c>
      <c r="AR47" s="1">
        <f t="shared" si="67"/>
        <v>44.1</v>
      </c>
      <c r="AS47" s="2">
        <f t="shared" si="81"/>
        <v>32.717477500000001</v>
      </c>
      <c r="AT47" s="2">
        <f t="shared" si="68"/>
        <v>14.9352</v>
      </c>
      <c r="AU47" s="2">
        <v>18.623540250000005</v>
      </c>
      <c r="AV47" s="2">
        <f t="shared" si="91"/>
        <v>14.395690100000003</v>
      </c>
      <c r="AW47" s="2">
        <f t="shared" si="69"/>
        <v>14.9352</v>
      </c>
      <c r="AX47" s="1">
        <f t="shared" si="70"/>
        <v>14.18844</v>
      </c>
      <c r="AY47" s="2" t="str">
        <f t="shared" si="71"/>
        <v>13.14 Per Unit</v>
      </c>
      <c r="AZ47" s="2">
        <f t="shared" si="72"/>
        <v>14.9352</v>
      </c>
      <c r="BA47" s="2">
        <f t="shared" si="82"/>
        <v>14.9352</v>
      </c>
      <c r="BB47" s="2">
        <f t="shared" si="83"/>
        <v>14.9352</v>
      </c>
      <c r="BC47" s="2">
        <f t="shared" si="84"/>
        <v>14.9352</v>
      </c>
      <c r="BD47" s="2">
        <f t="shared" si="85"/>
        <v>16.428720000000002</v>
      </c>
      <c r="BE47" s="2">
        <f t="shared" si="86"/>
        <v>13.44168</v>
      </c>
      <c r="BF47" s="2">
        <f t="shared" si="73"/>
        <v>74.97</v>
      </c>
      <c r="BG47" s="2">
        <f t="shared" si="74"/>
        <v>14.9352</v>
      </c>
      <c r="BH47" s="2" t="str">
        <f t="shared" si="75"/>
        <v>14.19 Per Unit</v>
      </c>
      <c r="BI47" s="1">
        <f t="shared" si="76"/>
        <v>17.922239999999999</v>
      </c>
      <c r="BJ47" s="2">
        <f t="shared" si="77"/>
        <v>14.9352</v>
      </c>
      <c r="BK47" s="2">
        <f t="shared" si="78"/>
        <v>14.18844</v>
      </c>
      <c r="BL47" s="2">
        <f t="shared" si="79"/>
        <v>14.9352</v>
      </c>
      <c r="BM47" s="2">
        <v>13.23</v>
      </c>
      <c r="BN47" s="2">
        <f t="shared" si="80"/>
        <v>14.9352</v>
      </c>
      <c r="BO47" s="2">
        <f>MIN(N47:BN47:BN47)</f>
        <v>13.086991000000001</v>
      </c>
      <c r="BP47" s="2">
        <f t="shared" si="87"/>
        <v>74.97</v>
      </c>
      <c r="BQ47" s="22"/>
    </row>
    <row r="48" spans="1:69" ht="20.100000000000001" customHeight="1" x14ac:dyDescent="0.2">
      <c r="A48" s="17">
        <f t="shared" si="41"/>
        <v>46</v>
      </c>
      <c r="B48" s="24">
        <v>85651</v>
      </c>
      <c r="C48" s="24">
        <v>3058565100</v>
      </c>
      <c r="D48" s="19" t="s">
        <v>118</v>
      </c>
      <c r="E48" s="18" t="s">
        <v>103</v>
      </c>
      <c r="F48" s="33">
        <v>25.62</v>
      </c>
      <c r="G48" s="24">
        <v>305</v>
      </c>
      <c r="H48" s="12">
        <v>0</v>
      </c>
      <c r="I48" s="24">
        <v>0</v>
      </c>
      <c r="J48" s="2">
        <f t="shared" si="45"/>
        <v>5.6398159999999997</v>
      </c>
      <c r="K48" s="21" t="s">
        <v>104</v>
      </c>
      <c r="L48" s="2">
        <v>4.3383199999999995</v>
      </c>
      <c r="M48" s="2">
        <v>2.3730810000000004</v>
      </c>
      <c r="N48" s="1">
        <f>4.25*1.8</f>
        <v>7.65</v>
      </c>
      <c r="O48" s="2">
        <f t="shared" si="46"/>
        <v>4.3383199999999995</v>
      </c>
      <c r="P48" s="1">
        <f t="shared" si="47"/>
        <v>16.653000000000002</v>
      </c>
      <c r="Q48" s="2">
        <f t="shared" si="48"/>
        <v>4.3383199999999995</v>
      </c>
      <c r="R48" s="1">
        <f t="shared" si="49"/>
        <v>4.7721520000000002</v>
      </c>
      <c r="S48" s="2">
        <f t="shared" si="50"/>
        <v>4.3383199999999995</v>
      </c>
      <c r="T48" s="2">
        <v>5.5909430000000002</v>
      </c>
      <c r="U48" s="1"/>
      <c r="V48" s="1">
        <f>4.96*3.14</f>
        <v>15.574400000000001</v>
      </c>
      <c r="W48" s="2">
        <f t="shared" si="88"/>
        <v>4.3383199999999995</v>
      </c>
      <c r="X48" s="2">
        <f t="shared" si="51"/>
        <v>4.3383199999999995</v>
      </c>
      <c r="Y48" s="2">
        <f t="shared" si="52"/>
        <v>4.3383199999999995</v>
      </c>
      <c r="Z48" s="2">
        <v>6.26</v>
      </c>
      <c r="AA48" s="2">
        <f t="shared" si="53"/>
        <v>4.1214039999999992</v>
      </c>
      <c r="AB48" s="2">
        <f t="shared" si="54"/>
        <v>4.1214039999999992</v>
      </c>
      <c r="AC48" s="2">
        <f t="shared" si="55"/>
        <v>4.3383199999999995</v>
      </c>
      <c r="AD48" s="1">
        <f t="shared" si="56"/>
        <v>4.5552359999999998</v>
      </c>
      <c r="AE48" s="2">
        <f t="shared" si="57"/>
        <v>4.3383199999999995</v>
      </c>
      <c r="AF48" s="2">
        <f t="shared" si="58"/>
        <v>4.3383199999999995</v>
      </c>
      <c r="AG48" s="2">
        <f t="shared" si="59"/>
        <v>3.9912543999999999</v>
      </c>
      <c r="AH48" s="1">
        <f t="shared" si="60"/>
        <v>17.934000000000001</v>
      </c>
      <c r="AI48" s="2">
        <f t="shared" si="89"/>
        <v>4.3383199999999995</v>
      </c>
      <c r="AJ48" s="2">
        <f t="shared" si="27"/>
        <v>4.3383199999999995</v>
      </c>
      <c r="AK48" s="1">
        <f t="shared" si="61"/>
        <v>5.9001152000000001</v>
      </c>
      <c r="AL48" s="2">
        <f t="shared" si="62"/>
        <v>4.3383199999999995</v>
      </c>
      <c r="AM48" s="2">
        <f t="shared" si="63"/>
        <v>4.3383199999999995</v>
      </c>
      <c r="AN48" s="1">
        <f t="shared" si="64"/>
        <v>4.3383199999999995</v>
      </c>
      <c r="AO48" s="1">
        <f t="shared" si="65"/>
        <v>4.3383199999999995</v>
      </c>
      <c r="AP48" s="2">
        <f t="shared" si="66"/>
        <v>2.3730810000000004</v>
      </c>
      <c r="AQ48" s="2">
        <f t="shared" si="90"/>
        <v>4.3383199999999995</v>
      </c>
      <c r="AR48" s="1">
        <f t="shared" si="67"/>
        <v>12.81</v>
      </c>
      <c r="AS48" s="2">
        <f t="shared" si="81"/>
        <v>5.9327025000000013</v>
      </c>
      <c r="AT48" s="2">
        <f t="shared" si="68"/>
        <v>4.3383199999999995</v>
      </c>
      <c r="AU48" s="2">
        <v>5.4096950250000022</v>
      </c>
      <c r="AV48" s="2">
        <f t="shared" si="91"/>
        <v>2.6103891000000008</v>
      </c>
      <c r="AW48" s="2">
        <f t="shared" si="69"/>
        <v>4.3383199999999995</v>
      </c>
      <c r="AX48" s="1">
        <f t="shared" si="70"/>
        <v>4.1214039999999992</v>
      </c>
      <c r="AY48" s="2" t="str">
        <f t="shared" si="71"/>
        <v>3.82 Per Unit</v>
      </c>
      <c r="AZ48" s="2">
        <f t="shared" si="72"/>
        <v>4.3383199999999995</v>
      </c>
      <c r="BA48" s="2">
        <f t="shared" si="82"/>
        <v>4.3383199999999995</v>
      </c>
      <c r="BB48" s="2">
        <f t="shared" si="83"/>
        <v>4.3383199999999995</v>
      </c>
      <c r="BC48" s="2">
        <f t="shared" si="84"/>
        <v>4.3383199999999995</v>
      </c>
      <c r="BD48" s="2">
        <f t="shared" si="85"/>
        <v>4.7721520000000002</v>
      </c>
      <c r="BE48" s="2">
        <f t="shared" si="86"/>
        <v>3.9044879999999997</v>
      </c>
      <c r="BF48" s="2">
        <f t="shared" si="73"/>
        <v>21.777000000000001</v>
      </c>
      <c r="BG48" s="2">
        <f t="shared" si="74"/>
        <v>4.3383199999999995</v>
      </c>
      <c r="BH48" s="2" t="str">
        <f t="shared" si="75"/>
        <v>4.12 Per Unit</v>
      </c>
      <c r="BI48" s="1">
        <f t="shared" si="76"/>
        <v>5.2059839999999991</v>
      </c>
      <c r="BJ48" s="2">
        <f t="shared" si="77"/>
        <v>4.3383199999999995</v>
      </c>
      <c r="BK48" s="2">
        <f t="shared" si="78"/>
        <v>4.1214039999999992</v>
      </c>
      <c r="BL48" s="2">
        <f t="shared" si="79"/>
        <v>4.3383199999999995</v>
      </c>
      <c r="BM48" s="2">
        <v>3.8429999999999995</v>
      </c>
      <c r="BN48" s="2">
        <f t="shared" si="80"/>
        <v>4.3383199999999995</v>
      </c>
      <c r="BO48" s="2">
        <f>MIN(N48:BN48:BN48)</f>
        <v>2.3730810000000004</v>
      </c>
      <c r="BP48" s="2">
        <f t="shared" si="87"/>
        <v>21.777000000000001</v>
      </c>
      <c r="BQ48" s="22"/>
    </row>
    <row r="49" spans="1:69" ht="20.100000000000001" customHeight="1" x14ac:dyDescent="0.2">
      <c r="A49" s="17">
        <f t="shared" si="41"/>
        <v>47</v>
      </c>
      <c r="B49" s="24">
        <v>82607</v>
      </c>
      <c r="C49" s="24">
        <v>3018260700</v>
      </c>
      <c r="D49" s="26" t="s">
        <v>119</v>
      </c>
      <c r="E49" s="18" t="s">
        <v>103</v>
      </c>
      <c r="F49" s="33">
        <v>90.48</v>
      </c>
      <c r="G49" s="24">
        <v>301</v>
      </c>
      <c r="H49" s="12">
        <v>0</v>
      </c>
      <c r="I49" s="24">
        <v>0</v>
      </c>
      <c r="J49" s="1">
        <f t="shared" si="45"/>
        <v>19.917664000000002</v>
      </c>
      <c r="K49" s="21" t="s">
        <v>104</v>
      </c>
      <c r="L49" s="1">
        <v>15.32128</v>
      </c>
      <c r="M49" s="2">
        <v>13.347329000000002</v>
      </c>
      <c r="N49" s="1">
        <f>18.03*1.8</f>
        <v>32.454000000000001</v>
      </c>
      <c r="O49" s="1">
        <f t="shared" si="46"/>
        <v>15.32128</v>
      </c>
      <c r="P49" s="1">
        <f t="shared" si="47"/>
        <v>58.812000000000005</v>
      </c>
      <c r="Q49" s="2">
        <f t="shared" si="48"/>
        <v>15.32128</v>
      </c>
      <c r="R49" s="1">
        <f t="shared" si="49"/>
        <v>16.853408000000002</v>
      </c>
      <c r="S49" s="2">
        <f t="shared" si="50"/>
        <v>15.32128</v>
      </c>
      <c r="T49" s="2">
        <v>23.753551000000002</v>
      </c>
      <c r="U49" s="1"/>
      <c r="V49" s="1">
        <v>52.32</v>
      </c>
      <c r="W49" s="1">
        <v>14.82</v>
      </c>
      <c r="X49" s="1">
        <f t="shared" si="51"/>
        <v>15.32128</v>
      </c>
      <c r="Y49" s="2">
        <f t="shared" si="52"/>
        <v>15.32128</v>
      </c>
      <c r="Z49" s="2">
        <v>22.05</v>
      </c>
      <c r="AA49" s="2">
        <f t="shared" si="53"/>
        <v>14.555216</v>
      </c>
      <c r="AB49" s="2">
        <f t="shared" si="54"/>
        <v>14.555216</v>
      </c>
      <c r="AC49" s="2">
        <f t="shared" si="55"/>
        <v>15.32128</v>
      </c>
      <c r="AD49" s="1">
        <f t="shared" si="56"/>
        <v>16.087344000000002</v>
      </c>
      <c r="AE49" s="2">
        <f t="shared" si="57"/>
        <v>15.32128</v>
      </c>
      <c r="AF49" s="2">
        <f t="shared" si="58"/>
        <v>15.32128</v>
      </c>
      <c r="AG49" s="2">
        <f t="shared" si="59"/>
        <v>14.0955776</v>
      </c>
      <c r="AH49" s="1">
        <f t="shared" si="60"/>
        <v>63.335999999999999</v>
      </c>
      <c r="AI49" s="2">
        <f t="shared" si="89"/>
        <v>15.32128</v>
      </c>
      <c r="AJ49" s="2">
        <f t="shared" si="27"/>
        <v>15.32128</v>
      </c>
      <c r="AK49" s="1">
        <f t="shared" si="61"/>
        <v>20.836940800000001</v>
      </c>
      <c r="AL49" s="1">
        <f t="shared" si="62"/>
        <v>15.32128</v>
      </c>
      <c r="AM49" s="1">
        <f t="shared" si="63"/>
        <v>15.32128</v>
      </c>
      <c r="AN49" s="1">
        <f t="shared" si="64"/>
        <v>15.32128</v>
      </c>
      <c r="AO49" s="1">
        <f t="shared" si="65"/>
        <v>15.32128</v>
      </c>
      <c r="AP49" s="2">
        <f t="shared" si="66"/>
        <v>13.347329000000002</v>
      </c>
      <c r="AQ49" s="2">
        <f t="shared" si="90"/>
        <v>15.32128</v>
      </c>
      <c r="AR49" s="1">
        <f t="shared" si="67"/>
        <v>45.24</v>
      </c>
      <c r="AS49" s="2">
        <f t="shared" si="81"/>
        <v>33.368322500000005</v>
      </c>
      <c r="AT49" s="2">
        <f t="shared" si="68"/>
        <v>15.32128</v>
      </c>
      <c r="AU49" s="2">
        <v>19.104965100000001</v>
      </c>
      <c r="AV49" s="2">
        <f t="shared" si="91"/>
        <v>14.682061900000003</v>
      </c>
      <c r="AW49" s="2">
        <f t="shared" si="69"/>
        <v>15.32128</v>
      </c>
      <c r="AX49" s="1">
        <f t="shared" si="70"/>
        <v>14.555216</v>
      </c>
      <c r="AY49" s="2" t="str">
        <f t="shared" si="71"/>
        <v>13.48 Per Unit</v>
      </c>
      <c r="AZ49" s="2">
        <f t="shared" si="72"/>
        <v>15.32128</v>
      </c>
      <c r="BA49" s="2">
        <f t="shared" si="82"/>
        <v>15.32128</v>
      </c>
      <c r="BB49" s="2">
        <f t="shared" si="83"/>
        <v>15.32128</v>
      </c>
      <c r="BC49" s="2">
        <f t="shared" si="84"/>
        <v>15.32128</v>
      </c>
      <c r="BD49" s="2">
        <f t="shared" si="85"/>
        <v>16.853408000000002</v>
      </c>
      <c r="BE49" s="2">
        <f t="shared" si="86"/>
        <v>13.789152</v>
      </c>
      <c r="BF49" s="2">
        <f t="shared" si="73"/>
        <v>76.908000000000001</v>
      </c>
      <c r="BG49" s="2">
        <f t="shared" si="74"/>
        <v>15.32128</v>
      </c>
      <c r="BH49" s="2" t="str">
        <f t="shared" si="75"/>
        <v>14.56 Per Unit</v>
      </c>
      <c r="BI49" s="1">
        <f t="shared" si="76"/>
        <v>18.385535999999998</v>
      </c>
      <c r="BJ49" s="1">
        <f t="shared" si="77"/>
        <v>15.32128</v>
      </c>
      <c r="BK49" s="2">
        <f t="shared" si="78"/>
        <v>14.555216</v>
      </c>
      <c r="BL49" s="2">
        <f t="shared" si="79"/>
        <v>15.32128</v>
      </c>
      <c r="BM49" s="2">
        <v>13.572000000000001</v>
      </c>
      <c r="BN49" s="2">
        <f t="shared" si="80"/>
        <v>15.32128</v>
      </c>
      <c r="BO49" s="2">
        <f>MIN(N49:BN49:BN49)</f>
        <v>13.347329000000002</v>
      </c>
      <c r="BP49" s="2">
        <f t="shared" si="87"/>
        <v>76.908000000000001</v>
      </c>
      <c r="BQ49" s="22"/>
    </row>
    <row r="50" spans="1:69" ht="20.100000000000001" customHeight="1" x14ac:dyDescent="0.2">
      <c r="A50" s="17">
        <f t="shared" si="41"/>
        <v>48</v>
      </c>
      <c r="B50" s="24">
        <v>84305</v>
      </c>
      <c r="C50" s="24">
        <v>3018430500</v>
      </c>
      <c r="D50" s="26" t="s">
        <v>120</v>
      </c>
      <c r="E50" s="18" t="s">
        <v>103</v>
      </c>
      <c r="F50" s="33">
        <v>127.56</v>
      </c>
      <c r="G50" s="24">
        <v>301</v>
      </c>
      <c r="H50" s="12">
        <v>0</v>
      </c>
      <c r="I50" s="24">
        <v>0</v>
      </c>
      <c r="J50" s="2">
        <f t="shared" si="45"/>
        <v>28.080208000000002</v>
      </c>
      <c r="K50" s="21" t="s">
        <v>104</v>
      </c>
      <c r="L50" s="2">
        <v>21.600160000000002</v>
      </c>
      <c r="M50" s="2">
        <v>18.413907000000002</v>
      </c>
      <c r="N50" s="1">
        <f>25.43*1.8</f>
        <v>45.774000000000001</v>
      </c>
      <c r="O50" s="2">
        <f t="shared" si="46"/>
        <v>21.600160000000002</v>
      </c>
      <c r="P50" s="1">
        <f t="shared" si="47"/>
        <v>82.914000000000001</v>
      </c>
      <c r="Q50" s="2">
        <f t="shared" si="48"/>
        <v>21.600160000000002</v>
      </c>
      <c r="R50" s="1">
        <f t="shared" si="49"/>
        <v>23.760176000000005</v>
      </c>
      <c r="S50" s="2">
        <f t="shared" si="50"/>
        <v>21.600160000000002</v>
      </c>
      <c r="T50" s="2">
        <v>26.798334000000001</v>
      </c>
      <c r="U50" s="1"/>
      <c r="V50" s="1">
        <v>73.77</v>
      </c>
      <c r="W50" s="2">
        <f t="shared" si="88"/>
        <v>21.600160000000002</v>
      </c>
      <c r="X50" s="2">
        <f t="shared" si="51"/>
        <v>21.600160000000002</v>
      </c>
      <c r="Y50" s="2">
        <f t="shared" si="52"/>
        <v>21.600160000000002</v>
      </c>
      <c r="Z50" s="2">
        <v>31.1</v>
      </c>
      <c r="AA50" s="2">
        <f t="shared" si="53"/>
        <v>20.520152000000003</v>
      </c>
      <c r="AB50" s="2">
        <f t="shared" si="54"/>
        <v>20.520152000000003</v>
      </c>
      <c r="AC50" s="2">
        <f t="shared" si="55"/>
        <v>21.600160000000002</v>
      </c>
      <c r="AD50" s="1">
        <f t="shared" si="56"/>
        <v>22.680168000000002</v>
      </c>
      <c r="AE50" s="2">
        <f t="shared" si="57"/>
        <v>21.600160000000002</v>
      </c>
      <c r="AF50" s="2">
        <f t="shared" si="58"/>
        <v>21.600160000000002</v>
      </c>
      <c r="AG50" s="2">
        <f t="shared" si="59"/>
        <v>19.872147200000004</v>
      </c>
      <c r="AH50" s="1">
        <f t="shared" si="60"/>
        <v>89.292000000000002</v>
      </c>
      <c r="AI50" s="2">
        <f t="shared" si="89"/>
        <v>21.600160000000002</v>
      </c>
      <c r="AJ50" s="2">
        <f t="shared" si="27"/>
        <v>21.600160000000002</v>
      </c>
      <c r="AK50" s="1">
        <f t="shared" si="61"/>
        <v>29.376217600000004</v>
      </c>
      <c r="AL50" s="2">
        <f t="shared" si="62"/>
        <v>21.600160000000002</v>
      </c>
      <c r="AM50" s="2">
        <f t="shared" si="63"/>
        <v>21.600160000000002</v>
      </c>
      <c r="AN50" s="1">
        <f t="shared" si="64"/>
        <v>21.600160000000002</v>
      </c>
      <c r="AO50" s="1">
        <f t="shared" si="65"/>
        <v>21.600160000000002</v>
      </c>
      <c r="AP50" s="2">
        <f t="shared" si="66"/>
        <v>18.413907000000002</v>
      </c>
      <c r="AQ50" s="2">
        <f t="shared" si="90"/>
        <v>21.600160000000002</v>
      </c>
      <c r="AR50" s="1">
        <f t="shared" si="67"/>
        <v>63.78</v>
      </c>
      <c r="AS50" s="2">
        <f t="shared" si="81"/>
        <v>46.034767500000001</v>
      </c>
      <c r="AT50" s="2">
        <f t="shared" si="68"/>
        <v>21.600160000000002</v>
      </c>
      <c r="AU50" s="2">
        <v>26.934453450000007</v>
      </c>
      <c r="AV50" s="2">
        <f t="shared" si="91"/>
        <v>20.255297700000003</v>
      </c>
      <c r="AW50" s="2">
        <f t="shared" si="69"/>
        <v>21.600160000000002</v>
      </c>
      <c r="AX50" s="1">
        <f t="shared" si="70"/>
        <v>20.520152000000003</v>
      </c>
      <c r="AY50" s="2" t="str">
        <f t="shared" si="71"/>
        <v>19.01 Per Unit</v>
      </c>
      <c r="AZ50" s="2">
        <f t="shared" si="72"/>
        <v>21.600160000000002</v>
      </c>
      <c r="BA50" s="2">
        <f t="shared" si="82"/>
        <v>21.600160000000002</v>
      </c>
      <c r="BB50" s="2">
        <f t="shared" si="83"/>
        <v>21.600160000000002</v>
      </c>
      <c r="BC50" s="2">
        <f t="shared" si="84"/>
        <v>21.600160000000002</v>
      </c>
      <c r="BD50" s="2">
        <f t="shared" si="85"/>
        <v>23.760176000000005</v>
      </c>
      <c r="BE50" s="2">
        <f t="shared" si="86"/>
        <v>19.440144000000004</v>
      </c>
      <c r="BF50" s="2">
        <f t="shared" si="73"/>
        <v>108.426</v>
      </c>
      <c r="BG50" s="2">
        <f t="shared" si="74"/>
        <v>21.600160000000002</v>
      </c>
      <c r="BH50" s="2" t="str">
        <f t="shared" si="75"/>
        <v>20.52 Per Unit</v>
      </c>
      <c r="BI50" s="1">
        <f t="shared" si="76"/>
        <v>25.920192000000004</v>
      </c>
      <c r="BJ50" s="2">
        <f t="shared" si="77"/>
        <v>21.600160000000002</v>
      </c>
      <c r="BK50" s="2">
        <f t="shared" si="78"/>
        <v>20.520152000000003</v>
      </c>
      <c r="BL50" s="2">
        <f t="shared" si="79"/>
        <v>21.600160000000002</v>
      </c>
      <c r="BM50" s="2">
        <v>19.134</v>
      </c>
      <c r="BN50" s="2">
        <f t="shared" si="80"/>
        <v>21.600160000000002</v>
      </c>
      <c r="BO50" s="2">
        <f>MIN(N50:BN50:BN50)</f>
        <v>18.413907000000002</v>
      </c>
      <c r="BP50" s="2">
        <f t="shared" si="87"/>
        <v>108.426</v>
      </c>
      <c r="BQ50" s="22"/>
    </row>
    <row r="51" spans="1:69" ht="20.100000000000001" customHeight="1" x14ac:dyDescent="0.2">
      <c r="A51" s="17">
        <f t="shared" si="41"/>
        <v>49</v>
      </c>
      <c r="B51" s="24">
        <v>84520</v>
      </c>
      <c r="C51" s="24">
        <v>3018452000</v>
      </c>
      <c r="D51" s="26" t="s">
        <v>121</v>
      </c>
      <c r="E51" s="18" t="s">
        <v>103</v>
      </c>
      <c r="F51" s="33">
        <v>23.7</v>
      </c>
      <c r="G51" s="24">
        <v>301</v>
      </c>
      <c r="H51" s="12">
        <v>0</v>
      </c>
      <c r="I51" s="24">
        <v>0</v>
      </c>
      <c r="J51" s="2">
        <f t="shared" si="45"/>
        <v>5.2171600000000007</v>
      </c>
      <c r="K51" s="21" t="s">
        <v>104</v>
      </c>
      <c r="L51" s="2">
        <v>4.0132000000000003</v>
      </c>
      <c r="M51" s="2">
        <v>3.1540950000000003</v>
      </c>
      <c r="N51" s="1">
        <f>4.73*1.8</f>
        <v>8.5140000000000011</v>
      </c>
      <c r="O51" s="2">
        <f t="shared" si="46"/>
        <v>4.0132000000000003</v>
      </c>
      <c r="P51" s="1">
        <f t="shared" si="47"/>
        <v>15.404999999999999</v>
      </c>
      <c r="Q51" s="2">
        <f t="shared" si="48"/>
        <v>4.0132000000000003</v>
      </c>
      <c r="R51" s="1">
        <f t="shared" si="49"/>
        <v>4.4145200000000004</v>
      </c>
      <c r="S51" s="2">
        <f t="shared" si="50"/>
        <v>4.0132000000000003</v>
      </c>
      <c r="T51" s="2">
        <v>6.2168739999999998</v>
      </c>
      <c r="U51" s="1"/>
      <c r="V51" s="1">
        <v>13.71</v>
      </c>
      <c r="W51" s="2">
        <f t="shared" si="88"/>
        <v>4.0132000000000003</v>
      </c>
      <c r="X51" s="2">
        <f t="shared" si="51"/>
        <v>4.0132000000000003</v>
      </c>
      <c r="Y51" s="2">
        <f t="shared" si="52"/>
        <v>4.0132000000000003</v>
      </c>
      <c r="Z51" s="2">
        <v>5.79</v>
      </c>
      <c r="AA51" s="2">
        <f t="shared" si="53"/>
        <v>3.8125400000000003</v>
      </c>
      <c r="AB51" s="2">
        <f t="shared" si="54"/>
        <v>3.8125400000000003</v>
      </c>
      <c r="AC51" s="2">
        <f t="shared" si="55"/>
        <v>4.0132000000000003</v>
      </c>
      <c r="AD51" s="1">
        <f t="shared" si="56"/>
        <v>4.2138600000000004</v>
      </c>
      <c r="AE51" s="2">
        <f t="shared" si="57"/>
        <v>4.0132000000000003</v>
      </c>
      <c r="AF51" s="2">
        <f t="shared" si="58"/>
        <v>4.0132000000000003</v>
      </c>
      <c r="AG51" s="2">
        <f t="shared" si="59"/>
        <v>3.6921440000000003</v>
      </c>
      <c r="AH51" s="1">
        <f t="shared" si="60"/>
        <v>16.59</v>
      </c>
      <c r="AI51" s="2">
        <f t="shared" si="89"/>
        <v>4.0132000000000003</v>
      </c>
      <c r="AJ51" s="2">
        <f t="shared" si="27"/>
        <v>4.0132000000000003</v>
      </c>
      <c r="AK51" s="1">
        <f t="shared" si="61"/>
        <v>5.4579520000000006</v>
      </c>
      <c r="AL51" s="2">
        <f t="shared" si="62"/>
        <v>4.0132000000000003</v>
      </c>
      <c r="AM51" s="2">
        <f t="shared" si="63"/>
        <v>4.0132000000000003</v>
      </c>
      <c r="AN51" s="1">
        <f t="shared" si="64"/>
        <v>4.0132000000000003</v>
      </c>
      <c r="AO51" s="1">
        <f t="shared" si="65"/>
        <v>4.0132000000000003</v>
      </c>
      <c r="AP51" s="2">
        <f t="shared" si="66"/>
        <v>3.1540950000000003</v>
      </c>
      <c r="AQ51" s="2">
        <f t="shared" si="90"/>
        <v>4.0132000000000003</v>
      </c>
      <c r="AR51" s="1">
        <f t="shared" si="67"/>
        <v>11.85</v>
      </c>
      <c r="AS51" s="2">
        <f t="shared" si="81"/>
        <v>7.8852375000000006</v>
      </c>
      <c r="AT51" s="2">
        <f t="shared" si="68"/>
        <v>4.0132000000000003</v>
      </c>
      <c r="AU51" s="2">
        <v>5.0042846250000004</v>
      </c>
      <c r="AV51" s="2">
        <f t="shared" si="91"/>
        <v>3.4695045000000007</v>
      </c>
      <c r="AW51" s="2">
        <f t="shared" si="69"/>
        <v>4.0132000000000003</v>
      </c>
      <c r="AX51" s="1">
        <f t="shared" si="70"/>
        <v>3.8125400000000003</v>
      </c>
      <c r="AY51" s="2" t="str">
        <f t="shared" si="71"/>
        <v>3.53 Per Unit</v>
      </c>
      <c r="AZ51" s="2">
        <f t="shared" si="72"/>
        <v>4.0132000000000003</v>
      </c>
      <c r="BA51" s="2">
        <f t="shared" si="82"/>
        <v>4.0132000000000003</v>
      </c>
      <c r="BB51" s="2">
        <f t="shared" si="83"/>
        <v>4.0132000000000003</v>
      </c>
      <c r="BC51" s="2">
        <f t="shared" si="84"/>
        <v>4.0132000000000003</v>
      </c>
      <c r="BD51" s="2">
        <f t="shared" si="85"/>
        <v>4.4145200000000004</v>
      </c>
      <c r="BE51" s="2">
        <f t="shared" si="86"/>
        <v>3.6118800000000002</v>
      </c>
      <c r="BF51" s="2">
        <f t="shared" si="73"/>
        <v>20.145</v>
      </c>
      <c r="BG51" s="2">
        <f t="shared" si="74"/>
        <v>4.0132000000000003</v>
      </c>
      <c r="BH51" s="2" t="str">
        <f t="shared" si="75"/>
        <v>3.81 Per Unit</v>
      </c>
      <c r="BI51" s="1">
        <f t="shared" si="76"/>
        <v>4.8158400000000006</v>
      </c>
      <c r="BJ51" s="2">
        <f t="shared" si="77"/>
        <v>4.0132000000000003</v>
      </c>
      <c r="BK51" s="2">
        <f t="shared" si="78"/>
        <v>3.8125400000000003</v>
      </c>
      <c r="BL51" s="2">
        <f t="shared" si="79"/>
        <v>4.0132000000000003</v>
      </c>
      <c r="BM51" s="2">
        <v>3.5550000000000002</v>
      </c>
      <c r="BN51" s="2">
        <f t="shared" si="80"/>
        <v>4.0132000000000003</v>
      </c>
      <c r="BO51" s="2">
        <f>MIN(N51:BN51:BN51)</f>
        <v>3.1540950000000003</v>
      </c>
      <c r="BP51" s="2">
        <f t="shared" si="87"/>
        <v>20.145</v>
      </c>
      <c r="BQ51" s="22"/>
    </row>
    <row r="52" spans="1:69" ht="20.100000000000001" customHeight="1" x14ac:dyDescent="0.2">
      <c r="A52" s="17">
        <f t="shared" si="41"/>
        <v>50</v>
      </c>
      <c r="B52" s="24">
        <v>87086</v>
      </c>
      <c r="C52" s="24">
        <v>3068708600</v>
      </c>
      <c r="D52" s="19" t="s">
        <v>122</v>
      </c>
      <c r="E52" s="18" t="s">
        <v>103</v>
      </c>
      <c r="F52" s="33">
        <v>48.42</v>
      </c>
      <c r="G52" s="24">
        <v>306</v>
      </c>
      <c r="H52" s="12">
        <v>0</v>
      </c>
      <c r="I52" s="24">
        <v>0</v>
      </c>
      <c r="J52" s="2">
        <f t="shared" si="45"/>
        <v>10.658856000000002</v>
      </c>
      <c r="K52" s="21" t="s">
        <v>104</v>
      </c>
      <c r="L52" s="2">
        <v>8.1991200000000006</v>
      </c>
      <c r="M52" s="2">
        <v>7.1592950000000011</v>
      </c>
      <c r="N52" s="1">
        <f>9.66*1.8</f>
        <v>17.388000000000002</v>
      </c>
      <c r="O52" s="2">
        <f t="shared" si="46"/>
        <v>8.1991200000000006</v>
      </c>
      <c r="P52" s="1">
        <f t="shared" si="47"/>
        <v>31.473000000000003</v>
      </c>
      <c r="Q52" s="2">
        <f t="shared" si="48"/>
        <v>8.1991200000000006</v>
      </c>
      <c r="R52" s="1">
        <f t="shared" si="49"/>
        <v>9.019032000000001</v>
      </c>
      <c r="S52" s="2">
        <f t="shared" si="50"/>
        <v>8.1991200000000006</v>
      </c>
      <c r="T52" s="2">
        <v>12.539838</v>
      </c>
      <c r="U52" s="1"/>
      <c r="V52" s="1">
        <v>28</v>
      </c>
      <c r="W52" s="2">
        <f t="shared" si="88"/>
        <v>8.1991200000000006</v>
      </c>
      <c r="X52" s="2">
        <f t="shared" si="51"/>
        <v>8.1991200000000006</v>
      </c>
      <c r="Y52" s="2">
        <f t="shared" si="52"/>
        <v>8.1991200000000006</v>
      </c>
      <c r="Z52" s="2">
        <v>11.82</v>
      </c>
      <c r="AA52" s="2">
        <f t="shared" si="53"/>
        <v>7.7891640000000004</v>
      </c>
      <c r="AB52" s="2">
        <f t="shared" si="54"/>
        <v>7.7891640000000004</v>
      </c>
      <c r="AC52" s="2">
        <f t="shared" si="55"/>
        <v>8.1991200000000006</v>
      </c>
      <c r="AD52" s="1">
        <f t="shared" si="56"/>
        <v>8.6090760000000017</v>
      </c>
      <c r="AE52" s="2">
        <f t="shared" si="57"/>
        <v>8.1991200000000006</v>
      </c>
      <c r="AF52" s="2">
        <f t="shared" si="58"/>
        <v>8.1991200000000006</v>
      </c>
      <c r="AG52" s="2">
        <f t="shared" si="59"/>
        <v>7.5431904000000012</v>
      </c>
      <c r="AH52" s="1">
        <f t="shared" si="60"/>
        <v>33.893999999999998</v>
      </c>
      <c r="AI52" s="2">
        <f t="shared" si="89"/>
        <v>8.1991200000000006</v>
      </c>
      <c r="AJ52" s="2">
        <f t="shared" si="27"/>
        <v>8.1991200000000006</v>
      </c>
      <c r="AK52" s="1">
        <f t="shared" si="61"/>
        <v>11.150803200000002</v>
      </c>
      <c r="AL52" s="2">
        <f t="shared" si="62"/>
        <v>8.1991200000000006</v>
      </c>
      <c r="AM52" s="2">
        <f t="shared" si="63"/>
        <v>8.1991200000000006</v>
      </c>
      <c r="AN52" s="1">
        <f t="shared" si="64"/>
        <v>8.1991200000000006</v>
      </c>
      <c r="AO52" s="1">
        <f t="shared" si="65"/>
        <v>8.1991200000000006</v>
      </c>
      <c r="AP52" s="2">
        <f t="shared" si="66"/>
        <v>7.1592950000000011</v>
      </c>
      <c r="AQ52" s="2">
        <f t="shared" si="90"/>
        <v>8.1991200000000006</v>
      </c>
      <c r="AR52" s="1">
        <f t="shared" si="67"/>
        <v>24.21</v>
      </c>
      <c r="AS52" s="2">
        <f t="shared" si="81"/>
        <v>17.898237500000004</v>
      </c>
      <c r="AT52" s="2">
        <f t="shared" si="68"/>
        <v>8.1991200000000006</v>
      </c>
      <c r="AU52" s="2">
        <v>10.223943525000003</v>
      </c>
      <c r="AV52" s="2">
        <f t="shared" si="91"/>
        <v>7.8752245000000016</v>
      </c>
      <c r="AW52" s="2">
        <f t="shared" si="69"/>
        <v>8.1991200000000006</v>
      </c>
      <c r="AX52" s="1">
        <f t="shared" si="70"/>
        <v>7.7891640000000004</v>
      </c>
      <c r="AY52" s="2" t="str">
        <f t="shared" si="71"/>
        <v>7.22 Per Unit</v>
      </c>
      <c r="AZ52" s="2">
        <f t="shared" si="72"/>
        <v>8.1991200000000006</v>
      </c>
      <c r="BA52" s="2">
        <f t="shared" si="82"/>
        <v>8.1991200000000006</v>
      </c>
      <c r="BB52" s="2">
        <f t="shared" si="83"/>
        <v>8.1991200000000006</v>
      </c>
      <c r="BC52" s="2">
        <f t="shared" si="84"/>
        <v>8.1991200000000006</v>
      </c>
      <c r="BD52" s="2">
        <f t="shared" si="85"/>
        <v>9.019032000000001</v>
      </c>
      <c r="BE52" s="2">
        <f t="shared" si="86"/>
        <v>7.3792080000000011</v>
      </c>
      <c r="BF52" s="2">
        <f t="shared" si="73"/>
        <v>41.157000000000004</v>
      </c>
      <c r="BG52" s="2">
        <f t="shared" si="74"/>
        <v>8.1991200000000006</v>
      </c>
      <c r="BH52" s="2" t="str">
        <f t="shared" si="75"/>
        <v>7.79 Per Unit</v>
      </c>
      <c r="BI52" s="1">
        <f t="shared" si="76"/>
        <v>9.8389439999999997</v>
      </c>
      <c r="BJ52" s="2">
        <f t="shared" si="77"/>
        <v>8.1991200000000006</v>
      </c>
      <c r="BK52" s="2">
        <f t="shared" si="78"/>
        <v>7.7891640000000004</v>
      </c>
      <c r="BL52" s="2">
        <f t="shared" si="79"/>
        <v>8.1991200000000006</v>
      </c>
      <c r="BM52" s="2">
        <v>7.2630000000000008</v>
      </c>
      <c r="BN52" s="2">
        <f t="shared" si="80"/>
        <v>8.1991200000000006</v>
      </c>
      <c r="BO52" s="2">
        <f>MIN(N52:BN52:BN52)</f>
        <v>7.1592950000000011</v>
      </c>
      <c r="BP52" s="2">
        <f t="shared" si="87"/>
        <v>41.157000000000004</v>
      </c>
      <c r="BQ52" s="22"/>
    </row>
    <row r="53" spans="1:69" ht="20.100000000000001" customHeight="1" x14ac:dyDescent="0.2">
      <c r="A53" s="17">
        <f t="shared" si="41"/>
        <v>51</v>
      </c>
      <c r="B53" s="24">
        <v>84134</v>
      </c>
      <c r="C53" s="24">
        <v>3018413400</v>
      </c>
      <c r="D53" s="19" t="s">
        <v>123</v>
      </c>
      <c r="E53" s="18" t="s">
        <v>103</v>
      </c>
      <c r="F53" s="33">
        <v>88.74</v>
      </c>
      <c r="G53" s="24">
        <v>301</v>
      </c>
      <c r="H53" s="12">
        <v>0</v>
      </c>
      <c r="I53" s="24">
        <v>0</v>
      </c>
      <c r="J53" s="2">
        <f t="shared" si="45"/>
        <v>19.270472000000002</v>
      </c>
      <c r="K53" s="21" t="s">
        <v>104</v>
      </c>
      <c r="L53" s="2">
        <v>14.82344</v>
      </c>
      <c r="M53" s="2">
        <v>12.486211000000001</v>
      </c>
      <c r="N53" s="1">
        <f>17.44*1.8</f>
        <v>31.392000000000003</v>
      </c>
      <c r="O53" s="2">
        <f t="shared" si="46"/>
        <v>14.82344</v>
      </c>
      <c r="P53" s="1">
        <f t="shared" si="47"/>
        <v>57.680999999999997</v>
      </c>
      <c r="Q53" s="2">
        <f t="shared" si="48"/>
        <v>14.82344</v>
      </c>
      <c r="R53" s="1">
        <f t="shared" si="49"/>
        <v>16.305784000000003</v>
      </c>
      <c r="S53" s="2">
        <f t="shared" si="50"/>
        <v>14.82344</v>
      </c>
      <c r="T53" s="2">
        <v>23.053357000000002</v>
      </c>
      <c r="U53" s="1"/>
      <c r="V53" s="1">
        <v>50.63</v>
      </c>
      <c r="W53" s="2">
        <f t="shared" si="88"/>
        <v>14.82344</v>
      </c>
      <c r="X53" s="2">
        <f t="shared" si="51"/>
        <v>14.82344</v>
      </c>
      <c r="Y53" s="2">
        <f t="shared" si="52"/>
        <v>14.82344</v>
      </c>
      <c r="Z53" s="2">
        <v>21.33</v>
      </c>
      <c r="AA53" s="2">
        <f t="shared" si="53"/>
        <v>14.082267999999999</v>
      </c>
      <c r="AB53" s="2">
        <f t="shared" si="54"/>
        <v>14.082267999999999</v>
      </c>
      <c r="AC53" s="2">
        <f t="shared" si="55"/>
        <v>14.82344</v>
      </c>
      <c r="AD53" s="1">
        <f t="shared" si="56"/>
        <v>15.564612</v>
      </c>
      <c r="AE53" s="2">
        <f t="shared" si="57"/>
        <v>14.82344</v>
      </c>
      <c r="AF53" s="2">
        <f t="shared" si="58"/>
        <v>14.82344</v>
      </c>
      <c r="AG53" s="2">
        <f t="shared" si="59"/>
        <v>13.6375648</v>
      </c>
      <c r="AH53" s="1">
        <f t="shared" si="60"/>
        <v>62.117999999999995</v>
      </c>
      <c r="AI53" s="2">
        <f t="shared" si="89"/>
        <v>14.82344</v>
      </c>
      <c r="AJ53" s="2">
        <f t="shared" si="27"/>
        <v>14.82344</v>
      </c>
      <c r="AK53" s="1">
        <f t="shared" si="61"/>
        <v>20.1598784</v>
      </c>
      <c r="AL53" s="2">
        <f t="shared" si="62"/>
        <v>14.82344</v>
      </c>
      <c r="AM53" s="2">
        <f t="shared" si="63"/>
        <v>14.82344</v>
      </c>
      <c r="AN53" s="1">
        <f t="shared" si="64"/>
        <v>14.82344</v>
      </c>
      <c r="AO53" s="1">
        <f t="shared" si="65"/>
        <v>14.82344</v>
      </c>
      <c r="AP53" s="2">
        <f t="shared" si="66"/>
        <v>12.486211000000001</v>
      </c>
      <c r="AQ53" s="2">
        <f t="shared" si="90"/>
        <v>14.82344</v>
      </c>
      <c r="AR53" s="1">
        <f t="shared" si="67"/>
        <v>44.37</v>
      </c>
      <c r="AS53" s="2">
        <f t="shared" si="81"/>
        <v>31.2155275</v>
      </c>
      <c r="AT53" s="2">
        <f t="shared" si="68"/>
        <v>14.82344</v>
      </c>
      <c r="AU53" s="2">
        <v>18.737561925000001</v>
      </c>
      <c r="AV53" s="2">
        <f t="shared" si="91"/>
        <v>13.734832100000002</v>
      </c>
      <c r="AW53" s="2">
        <f t="shared" si="69"/>
        <v>14.82344</v>
      </c>
      <c r="AX53" s="1">
        <f t="shared" si="70"/>
        <v>14.082267999999999</v>
      </c>
      <c r="AY53" s="2" t="str">
        <f t="shared" si="71"/>
        <v>13.04 Per Unit</v>
      </c>
      <c r="AZ53" s="2">
        <f t="shared" si="72"/>
        <v>14.82344</v>
      </c>
      <c r="BA53" s="2">
        <f t="shared" si="82"/>
        <v>14.82344</v>
      </c>
      <c r="BB53" s="2">
        <f t="shared" si="83"/>
        <v>14.82344</v>
      </c>
      <c r="BC53" s="2">
        <f t="shared" si="84"/>
        <v>14.82344</v>
      </c>
      <c r="BD53" s="2">
        <f t="shared" si="85"/>
        <v>16.305784000000003</v>
      </c>
      <c r="BE53" s="2">
        <f t="shared" si="86"/>
        <v>13.341096</v>
      </c>
      <c r="BF53" s="2">
        <f t="shared" si="73"/>
        <v>75.428999999999988</v>
      </c>
      <c r="BG53" s="2">
        <f t="shared" si="74"/>
        <v>14.82344</v>
      </c>
      <c r="BH53" s="2" t="str">
        <f t="shared" si="75"/>
        <v>14.08 Per Unit</v>
      </c>
      <c r="BI53" s="1">
        <f t="shared" si="76"/>
        <v>17.788128</v>
      </c>
      <c r="BJ53" s="2">
        <f t="shared" si="77"/>
        <v>14.82344</v>
      </c>
      <c r="BK53" s="2">
        <f t="shared" si="78"/>
        <v>14.082267999999999</v>
      </c>
      <c r="BL53" s="2">
        <f t="shared" si="79"/>
        <v>14.82344</v>
      </c>
      <c r="BM53" s="2">
        <v>13.131</v>
      </c>
      <c r="BN53" s="2">
        <f t="shared" si="80"/>
        <v>14.82344</v>
      </c>
      <c r="BO53" s="2">
        <f>MIN(N53:BN53:BN53)</f>
        <v>12.486211000000001</v>
      </c>
      <c r="BP53" s="2">
        <f t="shared" si="87"/>
        <v>75.428999999999988</v>
      </c>
      <c r="BQ53" s="22"/>
    </row>
    <row r="54" spans="1:69" ht="20.100000000000001" customHeight="1" x14ac:dyDescent="0.2">
      <c r="A54" s="17">
        <f t="shared" si="41"/>
        <v>52</v>
      </c>
      <c r="B54" s="24">
        <v>83970</v>
      </c>
      <c r="C54" s="24">
        <v>3018397000</v>
      </c>
      <c r="D54" s="26" t="s">
        <v>124</v>
      </c>
      <c r="E54" s="18" t="s">
        <v>103</v>
      </c>
      <c r="F54" s="33">
        <v>247.68</v>
      </c>
      <c r="G54" s="24">
        <v>301</v>
      </c>
      <c r="H54" s="12">
        <v>0</v>
      </c>
      <c r="I54" s="24">
        <v>0</v>
      </c>
      <c r="J54" s="2">
        <f t="shared" si="45"/>
        <v>54.522624</v>
      </c>
      <c r="K54" s="21" t="s">
        <v>104</v>
      </c>
      <c r="L54" s="2">
        <v>41.940480000000001</v>
      </c>
      <c r="M54" s="2">
        <v>34.885292000000007</v>
      </c>
      <c r="N54" s="1">
        <f>49.37*1.8</f>
        <v>88.866</v>
      </c>
      <c r="O54" s="2">
        <f t="shared" si="46"/>
        <v>41.940480000000001</v>
      </c>
      <c r="P54" s="1">
        <f t="shared" si="47"/>
        <v>160.99200000000002</v>
      </c>
      <c r="Q54" s="2">
        <f t="shared" si="48"/>
        <v>41.940480000000001</v>
      </c>
      <c r="R54" s="1">
        <f t="shared" si="49"/>
        <v>46.134528000000003</v>
      </c>
      <c r="S54" s="2">
        <f t="shared" si="50"/>
        <v>41.940480000000001</v>
      </c>
      <c r="T54" s="2">
        <v>65.043779000000001</v>
      </c>
      <c r="U54" s="1"/>
      <c r="V54" s="1">
        <v>143.24</v>
      </c>
      <c r="W54" s="2">
        <f t="shared" si="88"/>
        <v>41.940480000000001</v>
      </c>
      <c r="X54" s="2">
        <f t="shared" si="51"/>
        <v>41.940480000000001</v>
      </c>
      <c r="Y54" s="2">
        <f t="shared" si="52"/>
        <v>41.940480000000001</v>
      </c>
      <c r="Z54" s="2">
        <v>60.38</v>
      </c>
      <c r="AA54" s="2">
        <f t="shared" si="53"/>
        <v>39.843455999999996</v>
      </c>
      <c r="AB54" s="2">
        <f t="shared" si="54"/>
        <v>39.843455999999996</v>
      </c>
      <c r="AC54" s="2">
        <f t="shared" si="55"/>
        <v>41.940480000000001</v>
      </c>
      <c r="AD54" s="1">
        <f t="shared" si="56"/>
        <v>44.037504000000006</v>
      </c>
      <c r="AE54" s="2">
        <f t="shared" si="57"/>
        <v>41.940480000000001</v>
      </c>
      <c r="AF54" s="2">
        <f t="shared" si="58"/>
        <v>41.940480000000001</v>
      </c>
      <c r="AG54" s="2">
        <f t="shared" si="59"/>
        <v>38.585241600000003</v>
      </c>
      <c r="AH54" s="1">
        <f t="shared" si="60"/>
        <v>173.376</v>
      </c>
      <c r="AI54" s="2">
        <f t="shared" si="89"/>
        <v>41.940480000000001</v>
      </c>
      <c r="AJ54" s="2">
        <f t="shared" si="27"/>
        <v>41.940480000000001</v>
      </c>
      <c r="AK54" s="1">
        <f t="shared" si="61"/>
        <v>57.039052800000007</v>
      </c>
      <c r="AL54" s="2">
        <f t="shared" si="62"/>
        <v>41.940480000000001</v>
      </c>
      <c r="AM54" s="2">
        <f t="shared" si="63"/>
        <v>41.940480000000001</v>
      </c>
      <c r="AN54" s="1">
        <f t="shared" si="64"/>
        <v>41.940480000000001</v>
      </c>
      <c r="AO54" s="1">
        <f t="shared" si="65"/>
        <v>41.940480000000001</v>
      </c>
      <c r="AP54" s="2">
        <f t="shared" si="66"/>
        <v>34.885292000000007</v>
      </c>
      <c r="AQ54" s="2">
        <f t="shared" si="90"/>
        <v>41.940480000000001</v>
      </c>
      <c r="AR54" s="1">
        <f t="shared" si="67"/>
        <v>123.84</v>
      </c>
      <c r="AS54" s="2">
        <f t="shared" si="81"/>
        <v>87.21323000000001</v>
      </c>
      <c r="AT54" s="2">
        <f t="shared" si="68"/>
        <v>41.940480000000001</v>
      </c>
      <c r="AU54" s="2">
        <v>52.297941600000016</v>
      </c>
      <c r="AV54" s="2">
        <f t="shared" si="91"/>
        <v>38.373821200000009</v>
      </c>
      <c r="AW54" s="2">
        <f t="shared" si="69"/>
        <v>41.940480000000001</v>
      </c>
      <c r="AX54" s="1">
        <f t="shared" si="70"/>
        <v>39.843455999999996</v>
      </c>
      <c r="AY54" s="2" t="str">
        <f t="shared" si="71"/>
        <v>36.91 Per Unit</v>
      </c>
      <c r="AZ54" s="2">
        <f t="shared" si="72"/>
        <v>41.940480000000001</v>
      </c>
      <c r="BA54" s="2">
        <f t="shared" si="82"/>
        <v>41.940480000000001</v>
      </c>
      <c r="BB54" s="2">
        <f t="shared" si="83"/>
        <v>41.940480000000001</v>
      </c>
      <c r="BC54" s="2">
        <f t="shared" si="84"/>
        <v>41.940480000000001</v>
      </c>
      <c r="BD54" s="2">
        <f t="shared" si="85"/>
        <v>46.134528000000003</v>
      </c>
      <c r="BE54" s="2">
        <f t="shared" si="86"/>
        <v>37.746431999999999</v>
      </c>
      <c r="BF54" s="2">
        <f t="shared" si="73"/>
        <v>210.52799999999999</v>
      </c>
      <c r="BG54" s="2">
        <f t="shared" si="74"/>
        <v>41.940480000000001</v>
      </c>
      <c r="BH54" s="2" t="str">
        <f t="shared" si="75"/>
        <v>39.84 Per Unit</v>
      </c>
      <c r="BI54" s="1">
        <f t="shared" si="76"/>
        <v>50.328575999999998</v>
      </c>
      <c r="BJ54" s="2">
        <f t="shared" si="77"/>
        <v>41.940480000000001</v>
      </c>
      <c r="BK54" s="2">
        <f t="shared" si="78"/>
        <v>39.843455999999996</v>
      </c>
      <c r="BL54" s="2">
        <f t="shared" si="79"/>
        <v>41.940480000000001</v>
      </c>
      <c r="BM54" s="2">
        <v>37.152000000000001</v>
      </c>
      <c r="BN54" s="2">
        <f t="shared" si="80"/>
        <v>41.940480000000001</v>
      </c>
      <c r="BO54" s="2">
        <f>MIN(N54:BN54:BN54)</f>
        <v>34.885292000000007</v>
      </c>
      <c r="BP54" s="2">
        <f t="shared" si="87"/>
        <v>210.52799999999999</v>
      </c>
      <c r="BQ54" s="22"/>
    </row>
    <row r="55" spans="1:69" ht="20.100000000000001" customHeight="1" x14ac:dyDescent="0.2">
      <c r="A55" s="17">
        <f t="shared" si="41"/>
        <v>53</v>
      </c>
      <c r="B55" s="24">
        <v>86480</v>
      </c>
      <c r="C55" s="24">
        <v>3028648000</v>
      </c>
      <c r="D55" s="26" t="s">
        <v>125</v>
      </c>
      <c r="E55" s="18" t="s">
        <v>103</v>
      </c>
      <c r="F55" s="33">
        <v>371.88</v>
      </c>
      <c r="G55" s="24">
        <v>302</v>
      </c>
      <c r="H55" s="12">
        <v>0</v>
      </c>
      <c r="I55" s="24">
        <v>0</v>
      </c>
      <c r="J55" s="2">
        <f t="shared" si="45"/>
        <v>81.863184000000004</v>
      </c>
      <c r="K55" s="21" t="s">
        <v>104</v>
      </c>
      <c r="L55" s="2">
        <v>62.971679999999999</v>
      </c>
      <c r="M55" s="2">
        <v>55.111552000000003</v>
      </c>
      <c r="N55" s="1">
        <f>74.14*1.8</f>
        <v>133.452</v>
      </c>
      <c r="O55" s="2">
        <f t="shared" si="46"/>
        <v>62.971679999999999</v>
      </c>
      <c r="P55" s="1">
        <f t="shared" si="47"/>
        <v>241.72200000000001</v>
      </c>
      <c r="Q55" s="2">
        <f t="shared" si="48"/>
        <v>62.971679999999999</v>
      </c>
      <c r="R55" s="1">
        <f t="shared" si="49"/>
        <v>69.268848000000006</v>
      </c>
      <c r="S55" s="2">
        <f t="shared" si="50"/>
        <v>62.971679999999999</v>
      </c>
      <c r="T55" s="2">
        <v>95.534044999999992</v>
      </c>
      <c r="U55" s="1"/>
      <c r="V55" s="1">
        <v>215.07</v>
      </c>
      <c r="W55" s="2">
        <f t="shared" si="88"/>
        <v>62.971679999999999</v>
      </c>
      <c r="X55" s="2">
        <f t="shared" si="51"/>
        <v>62.971679999999999</v>
      </c>
      <c r="Y55" s="2">
        <f t="shared" si="52"/>
        <v>62.971679999999999</v>
      </c>
      <c r="Z55" s="2">
        <v>90.66</v>
      </c>
      <c r="AA55" s="2">
        <f t="shared" si="53"/>
        <v>59.823096</v>
      </c>
      <c r="AB55" s="2">
        <f t="shared" si="54"/>
        <v>59.823096</v>
      </c>
      <c r="AC55" s="2">
        <f t="shared" si="55"/>
        <v>62.971679999999999</v>
      </c>
      <c r="AD55" s="1">
        <f t="shared" si="56"/>
        <v>66.120264000000006</v>
      </c>
      <c r="AE55" s="2">
        <f t="shared" si="57"/>
        <v>62.971679999999999</v>
      </c>
      <c r="AF55" s="2">
        <f t="shared" si="58"/>
        <v>62.971679999999999</v>
      </c>
      <c r="AG55" s="2">
        <f t="shared" si="59"/>
        <v>57.933945600000001</v>
      </c>
      <c r="AH55" s="1">
        <f t="shared" si="60"/>
        <v>260.31599999999997</v>
      </c>
      <c r="AI55" s="2">
        <f t="shared" si="89"/>
        <v>62.971679999999999</v>
      </c>
      <c r="AJ55" s="2">
        <f t="shared" si="27"/>
        <v>62.971679999999999</v>
      </c>
      <c r="AK55" s="1">
        <f t="shared" si="61"/>
        <v>85.641484800000001</v>
      </c>
      <c r="AL55" s="2">
        <f t="shared" si="62"/>
        <v>62.971679999999999</v>
      </c>
      <c r="AM55" s="2">
        <f t="shared" si="63"/>
        <v>62.971679999999999</v>
      </c>
      <c r="AN55" s="1">
        <f t="shared" si="64"/>
        <v>62.971679999999999</v>
      </c>
      <c r="AO55" s="1">
        <f t="shared" si="65"/>
        <v>62.971679999999999</v>
      </c>
      <c r="AP55" s="2">
        <f t="shared" si="66"/>
        <v>55.111552000000003</v>
      </c>
      <c r="AQ55" s="2">
        <f t="shared" si="90"/>
        <v>62.971679999999999</v>
      </c>
      <c r="AR55" s="1">
        <f t="shared" si="67"/>
        <v>185.94</v>
      </c>
      <c r="AS55" s="2">
        <f t="shared" si="81"/>
        <v>137.77888000000002</v>
      </c>
      <c r="AT55" s="2">
        <f t="shared" si="68"/>
        <v>62.971679999999999</v>
      </c>
      <c r="AU55" s="2">
        <v>78.522926850000019</v>
      </c>
      <c r="AV55" s="2">
        <f t="shared" si="91"/>
        <v>60.622707200000008</v>
      </c>
      <c r="AW55" s="2">
        <f t="shared" si="69"/>
        <v>62.971679999999999</v>
      </c>
      <c r="AX55" s="1">
        <f t="shared" si="70"/>
        <v>59.823096</v>
      </c>
      <c r="AY55" s="2" t="str">
        <f t="shared" si="71"/>
        <v>55.42 Per Unit</v>
      </c>
      <c r="AZ55" s="2">
        <f t="shared" si="72"/>
        <v>62.971679999999999</v>
      </c>
      <c r="BA55" s="2">
        <f t="shared" si="82"/>
        <v>62.971679999999999</v>
      </c>
      <c r="BB55" s="2">
        <f t="shared" si="83"/>
        <v>62.971679999999999</v>
      </c>
      <c r="BC55" s="2">
        <f t="shared" si="84"/>
        <v>62.971679999999999</v>
      </c>
      <c r="BD55" s="2">
        <f t="shared" si="85"/>
        <v>69.268848000000006</v>
      </c>
      <c r="BE55" s="2">
        <f t="shared" si="86"/>
        <v>56.674512</v>
      </c>
      <c r="BF55" s="2">
        <f t="shared" si="73"/>
        <v>316.09800000000001</v>
      </c>
      <c r="BG55" s="2">
        <f t="shared" si="74"/>
        <v>62.971679999999999</v>
      </c>
      <c r="BH55" s="2" t="str">
        <f t="shared" si="75"/>
        <v>59.82 Per Unit</v>
      </c>
      <c r="BI55" s="1">
        <f t="shared" si="76"/>
        <v>75.566015999999991</v>
      </c>
      <c r="BJ55" s="2">
        <f t="shared" si="77"/>
        <v>62.971679999999999</v>
      </c>
      <c r="BK55" s="2">
        <f t="shared" si="78"/>
        <v>59.823096</v>
      </c>
      <c r="BL55" s="2">
        <f t="shared" si="79"/>
        <v>62.971679999999999</v>
      </c>
      <c r="BM55" s="2">
        <v>55.781999999999996</v>
      </c>
      <c r="BN55" s="2">
        <f t="shared" si="80"/>
        <v>62.971679999999999</v>
      </c>
      <c r="BO55" s="2">
        <f>MIN(N55:BN55:BN55)</f>
        <v>55.111552000000003</v>
      </c>
      <c r="BP55" s="2">
        <f t="shared" si="87"/>
        <v>316.09800000000001</v>
      </c>
      <c r="BQ55" s="22"/>
    </row>
    <row r="56" spans="1:69" ht="20.100000000000001" customHeight="1" x14ac:dyDescent="0.2">
      <c r="A56" s="17">
        <f t="shared" si="41"/>
        <v>54</v>
      </c>
      <c r="B56" s="24">
        <v>87077</v>
      </c>
      <c r="C56" s="24">
        <v>3068707700</v>
      </c>
      <c r="D56" s="19" t="s">
        <v>126</v>
      </c>
      <c r="E56" s="18" t="s">
        <v>103</v>
      </c>
      <c r="F56" s="33">
        <v>48.48</v>
      </c>
      <c r="G56" s="24">
        <v>306</v>
      </c>
      <c r="H56" s="12">
        <v>0</v>
      </c>
      <c r="I56" s="24">
        <v>0</v>
      </c>
      <c r="J56" s="2">
        <f t="shared" si="45"/>
        <v>10.672064000000001</v>
      </c>
      <c r="K56" s="21" t="s">
        <v>104</v>
      </c>
      <c r="L56" s="2">
        <v>8.2092799999999997</v>
      </c>
      <c r="M56" s="2">
        <v>7.0892040000000005</v>
      </c>
      <c r="N56" s="1">
        <f>9.66*1.8</f>
        <v>17.388000000000002</v>
      </c>
      <c r="O56" s="2">
        <f t="shared" si="46"/>
        <v>8.2092799999999997</v>
      </c>
      <c r="P56" s="1">
        <f t="shared" si="47"/>
        <v>31.512</v>
      </c>
      <c r="Q56" s="2">
        <f t="shared" si="48"/>
        <v>8.2092799999999997</v>
      </c>
      <c r="R56" s="1">
        <f t="shared" si="49"/>
        <v>9.030208</v>
      </c>
      <c r="S56" s="2">
        <f t="shared" si="50"/>
        <v>8.2092799999999997</v>
      </c>
      <c r="T56" s="2">
        <v>12.720191</v>
      </c>
      <c r="U56" s="1"/>
      <c r="V56" s="1">
        <f>11.29*3.14</f>
        <v>35.450600000000001</v>
      </c>
      <c r="W56" s="2">
        <f t="shared" si="88"/>
        <v>8.2092799999999997</v>
      </c>
      <c r="X56" s="2">
        <f t="shared" si="51"/>
        <v>8.2092799999999997</v>
      </c>
      <c r="Y56" s="2">
        <f t="shared" si="52"/>
        <v>8.2092799999999997</v>
      </c>
      <c r="Z56" s="2">
        <v>11.82</v>
      </c>
      <c r="AA56" s="2">
        <f t="shared" si="53"/>
        <v>7.7988159999999995</v>
      </c>
      <c r="AB56" s="2">
        <f t="shared" si="54"/>
        <v>7.7988159999999995</v>
      </c>
      <c r="AC56" s="2">
        <f t="shared" si="55"/>
        <v>8.2092799999999997</v>
      </c>
      <c r="AD56" s="1">
        <f t="shared" si="56"/>
        <v>8.6197440000000007</v>
      </c>
      <c r="AE56" s="2">
        <f t="shared" si="57"/>
        <v>8.2092799999999997</v>
      </c>
      <c r="AF56" s="2">
        <f t="shared" si="58"/>
        <v>8.2092799999999997</v>
      </c>
      <c r="AG56" s="2">
        <f t="shared" si="59"/>
        <v>7.5525376</v>
      </c>
      <c r="AH56" s="1">
        <f t="shared" si="60"/>
        <v>33.935999999999993</v>
      </c>
      <c r="AI56" s="2">
        <f t="shared" si="89"/>
        <v>8.2092799999999997</v>
      </c>
      <c r="AJ56" s="2">
        <f t="shared" si="27"/>
        <v>8.2092799999999997</v>
      </c>
      <c r="AK56" s="1">
        <f t="shared" si="61"/>
        <v>11.1646208</v>
      </c>
      <c r="AL56" s="2">
        <f t="shared" si="62"/>
        <v>8.2092799999999997</v>
      </c>
      <c r="AM56" s="2">
        <f t="shared" si="63"/>
        <v>8.2092799999999997</v>
      </c>
      <c r="AN56" s="1">
        <f t="shared" si="64"/>
        <v>8.2092799999999997</v>
      </c>
      <c r="AO56" s="1">
        <f t="shared" si="65"/>
        <v>8.2092799999999997</v>
      </c>
      <c r="AP56" s="2">
        <f t="shared" si="66"/>
        <v>7.0892040000000005</v>
      </c>
      <c r="AQ56" s="2">
        <f t="shared" si="90"/>
        <v>8.2092799999999997</v>
      </c>
      <c r="AR56" s="1">
        <f t="shared" si="67"/>
        <v>24.24</v>
      </c>
      <c r="AS56" s="2">
        <f t="shared" si="81"/>
        <v>17.723010000000002</v>
      </c>
      <c r="AT56" s="2">
        <f t="shared" si="68"/>
        <v>8.2092799999999997</v>
      </c>
      <c r="AU56" s="2">
        <v>10.236612600000001</v>
      </c>
      <c r="AV56" s="2">
        <f t="shared" si="91"/>
        <v>7.7981244000000016</v>
      </c>
      <c r="AW56" s="2">
        <f t="shared" si="69"/>
        <v>8.2092799999999997</v>
      </c>
      <c r="AX56" s="1">
        <f t="shared" si="70"/>
        <v>7.7988159999999995</v>
      </c>
      <c r="AY56" s="2" t="str">
        <f t="shared" si="71"/>
        <v>7.22 Per Unit</v>
      </c>
      <c r="AZ56" s="2">
        <f t="shared" si="72"/>
        <v>8.2092799999999997</v>
      </c>
      <c r="BA56" s="2">
        <f t="shared" si="82"/>
        <v>8.2092799999999997</v>
      </c>
      <c r="BB56" s="2">
        <f t="shared" si="83"/>
        <v>8.2092799999999997</v>
      </c>
      <c r="BC56" s="2">
        <f t="shared" si="84"/>
        <v>8.2092799999999997</v>
      </c>
      <c r="BD56" s="2">
        <f t="shared" si="85"/>
        <v>9.030208</v>
      </c>
      <c r="BE56" s="2">
        <f t="shared" si="86"/>
        <v>7.3883520000000003</v>
      </c>
      <c r="BF56" s="2">
        <f t="shared" si="73"/>
        <v>41.207999999999998</v>
      </c>
      <c r="BG56" s="2">
        <f t="shared" si="74"/>
        <v>8.2092799999999997</v>
      </c>
      <c r="BH56" s="2" t="str">
        <f t="shared" si="75"/>
        <v>7.8 Per Unit</v>
      </c>
      <c r="BI56" s="1">
        <f t="shared" si="76"/>
        <v>9.8511359999999986</v>
      </c>
      <c r="BJ56" s="2">
        <f t="shared" si="77"/>
        <v>8.2092799999999997</v>
      </c>
      <c r="BK56" s="2">
        <f t="shared" si="78"/>
        <v>7.7988159999999995</v>
      </c>
      <c r="BL56" s="2">
        <f t="shared" si="79"/>
        <v>8.2092799999999997</v>
      </c>
      <c r="BM56" s="2">
        <v>7.2720000000000002</v>
      </c>
      <c r="BN56" s="2">
        <f t="shared" si="80"/>
        <v>8.2092799999999997</v>
      </c>
      <c r="BO56" s="2">
        <f>MIN(N56:BN56:BN56)</f>
        <v>7.0892040000000005</v>
      </c>
      <c r="BP56" s="2">
        <f t="shared" si="87"/>
        <v>41.207999999999998</v>
      </c>
      <c r="BQ56" s="22"/>
    </row>
    <row r="57" spans="1:69" ht="20.100000000000001" customHeight="1" x14ac:dyDescent="0.2">
      <c r="A57" s="17">
        <f t="shared" si="41"/>
        <v>55</v>
      </c>
      <c r="B57" s="24">
        <v>85730</v>
      </c>
      <c r="C57" s="24">
        <v>3058573000</v>
      </c>
      <c r="D57" s="26" t="s">
        <v>127</v>
      </c>
      <c r="E57" s="18" t="s">
        <v>103</v>
      </c>
      <c r="F57" s="33">
        <v>36.06</v>
      </c>
      <c r="G57" s="24">
        <v>305</v>
      </c>
      <c r="H57" s="12">
        <v>0</v>
      </c>
      <c r="I57" s="24">
        <v>0</v>
      </c>
      <c r="J57" s="2">
        <f t="shared" si="45"/>
        <v>7.938008</v>
      </c>
      <c r="K57" s="21" t="s">
        <v>104</v>
      </c>
      <c r="L57" s="2">
        <v>6.10616</v>
      </c>
      <c r="M57" s="2">
        <v>5.3469420000000003</v>
      </c>
      <c r="N57" s="1">
        <f>7.18*1.8</f>
        <v>12.923999999999999</v>
      </c>
      <c r="O57" s="2">
        <f t="shared" si="46"/>
        <v>6.10616</v>
      </c>
      <c r="P57" s="1">
        <f t="shared" si="47"/>
        <v>23.439000000000004</v>
      </c>
      <c r="Q57" s="2">
        <f t="shared" si="48"/>
        <v>6.10616</v>
      </c>
      <c r="R57" s="1">
        <f t="shared" si="49"/>
        <v>6.7167760000000003</v>
      </c>
      <c r="S57" s="2">
        <f t="shared" si="50"/>
        <v>6.10616</v>
      </c>
      <c r="T57" s="2">
        <v>9.4632280000000009</v>
      </c>
      <c r="U57" s="1"/>
      <c r="V57" s="1">
        <f>8.38*3.14</f>
        <v>26.313200000000002</v>
      </c>
      <c r="W57" s="2">
        <f t="shared" si="88"/>
        <v>6.10616</v>
      </c>
      <c r="X57" s="2">
        <f t="shared" si="51"/>
        <v>6.10616</v>
      </c>
      <c r="Y57" s="2">
        <f t="shared" si="52"/>
        <v>6.10616</v>
      </c>
      <c r="Z57" s="2">
        <v>8.81</v>
      </c>
      <c r="AA57" s="2">
        <f t="shared" si="53"/>
        <v>5.8008519999999999</v>
      </c>
      <c r="AB57" s="2">
        <f t="shared" si="54"/>
        <v>5.8008519999999999</v>
      </c>
      <c r="AC57" s="2">
        <f t="shared" si="55"/>
        <v>6.10616</v>
      </c>
      <c r="AD57" s="1">
        <f t="shared" si="56"/>
        <v>6.4114680000000002</v>
      </c>
      <c r="AE57" s="2">
        <f t="shared" si="57"/>
        <v>6.10616</v>
      </c>
      <c r="AF57" s="2">
        <f t="shared" si="58"/>
        <v>6.10616</v>
      </c>
      <c r="AG57" s="2">
        <f t="shared" si="59"/>
        <v>5.6176672000000005</v>
      </c>
      <c r="AH57" s="1">
        <f t="shared" si="60"/>
        <v>25.242000000000001</v>
      </c>
      <c r="AI57" s="2">
        <f t="shared" si="89"/>
        <v>6.10616</v>
      </c>
      <c r="AJ57" s="2">
        <f t="shared" si="27"/>
        <v>6.10616</v>
      </c>
      <c r="AK57" s="1">
        <f t="shared" si="61"/>
        <v>8.3043776000000005</v>
      </c>
      <c r="AL57" s="2">
        <f t="shared" si="62"/>
        <v>6.10616</v>
      </c>
      <c r="AM57" s="2">
        <f t="shared" si="63"/>
        <v>6.10616</v>
      </c>
      <c r="AN57" s="1">
        <f t="shared" si="64"/>
        <v>6.10616</v>
      </c>
      <c r="AO57" s="1">
        <f t="shared" si="65"/>
        <v>6.10616</v>
      </c>
      <c r="AP57" s="2">
        <f t="shared" si="66"/>
        <v>5.3469420000000003</v>
      </c>
      <c r="AQ57" s="2">
        <f t="shared" si="90"/>
        <v>6.10616</v>
      </c>
      <c r="AR57" s="1">
        <f t="shared" si="67"/>
        <v>18.03</v>
      </c>
      <c r="AS57" s="2">
        <f t="shared" si="81"/>
        <v>13.367355</v>
      </c>
      <c r="AT57" s="2">
        <f t="shared" si="68"/>
        <v>6.10616</v>
      </c>
      <c r="AU57" s="2">
        <v>7.6141140750000016</v>
      </c>
      <c r="AV57" s="2">
        <f t="shared" si="91"/>
        <v>5.8816362000000009</v>
      </c>
      <c r="AW57" s="2">
        <f t="shared" si="69"/>
        <v>6.10616</v>
      </c>
      <c r="AX57" s="1">
        <f t="shared" si="70"/>
        <v>5.8008519999999999</v>
      </c>
      <c r="AY57" s="2" t="str">
        <f t="shared" si="71"/>
        <v>5.37 Per Unit</v>
      </c>
      <c r="AZ57" s="2">
        <f t="shared" si="72"/>
        <v>6.10616</v>
      </c>
      <c r="BA57" s="2">
        <f t="shared" si="82"/>
        <v>6.10616</v>
      </c>
      <c r="BB57" s="2">
        <f t="shared" si="83"/>
        <v>6.10616</v>
      </c>
      <c r="BC57" s="2">
        <f t="shared" si="84"/>
        <v>6.10616</v>
      </c>
      <c r="BD57" s="2">
        <f t="shared" si="85"/>
        <v>6.7167760000000003</v>
      </c>
      <c r="BE57" s="2">
        <f t="shared" si="86"/>
        <v>5.4955439999999998</v>
      </c>
      <c r="BF57" s="2">
        <f t="shared" si="73"/>
        <v>30.651</v>
      </c>
      <c r="BG57" s="2">
        <f t="shared" si="74"/>
        <v>6.10616</v>
      </c>
      <c r="BH57" s="2" t="str">
        <f t="shared" si="75"/>
        <v>5.8 Per Unit</v>
      </c>
      <c r="BI57" s="1">
        <f t="shared" si="76"/>
        <v>7.3273919999999997</v>
      </c>
      <c r="BJ57" s="2">
        <f t="shared" si="77"/>
        <v>6.10616</v>
      </c>
      <c r="BK57" s="2">
        <f t="shared" si="78"/>
        <v>5.8008519999999999</v>
      </c>
      <c r="BL57" s="2">
        <f t="shared" si="79"/>
        <v>6.10616</v>
      </c>
      <c r="BM57" s="2">
        <v>5.4089999999999998</v>
      </c>
      <c r="BN57" s="2">
        <f t="shared" si="80"/>
        <v>6.10616</v>
      </c>
      <c r="BO57" s="2">
        <f>MIN(N57:BN57:BN57)</f>
        <v>5.3469420000000003</v>
      </c>
      <c r="BP57" s="2">
        <f t="shared" si="87"/>
        <v>30.651</v>
      </c>
      <c r="BQ57" s="22"/>
    </row>
    <row r="58" spans="1:69" ht="20.100000000000001" customHeight="1" x14ac:dyDescent="0.2">
      <c r="A58" s="17">
        <f t="shared" si="41"/>
        <v>56</v>
      </c>
      <c r="B58" s="24">
        <v>86140</v>
      </c>
      <c r="C58" s="24">
        <v>3028614000</v>
      </c>
      <c r="D58" s="26" t="s">
        <v>128</v>
      </c>
      <c r="E58" s="18" t="s">
        <v>103</v>
      </c>
      <c r="F58" s="33">
        <v>31.08</v>
      </c>
      <c r="G58" s="24">
        <v>302</v>
      </c>
      <c r="H58" s="12">
        <v>0</v>
      </c>
      <c r="I58" s="24">
        <v>0</v>
      </c>
      <c r="J58" s="2">
        <f t="shared" si="45"/>
        <v>6.8417440000000003</v>
      </c>
      <c r="K58" s="21" t="s">
        <v>104</v>
      </c>
      <c r="L58" s="2">
        <v>5.26288</v>
      </c>
      <c r="M58" s="2">
        <v>4.6059799999999997</v>
      </c>
      <c r="N58" s="1">
        <f>6.19*1.8</f>
        <v>11.142000000000001</v>
      </c>
      <c r="O58" s="2">
        <f t="shared" si="46"/>
        <v>5.26288</v>
      </c>
      <c r="P58" s="1">
        <f t="shared" si="47"/>
        <v>20.201999999999998</v>
      </c>
      <c r="Q58" s="2">
        <f t="shared" si="48"/>
        <v>5.26288</v>
      </c>
      <c r="R58" s="1">
        <f t="shared" si="49"/>
        <v>5.7891680000000001</v>
      </c>
      <c r="S58" s="2">
        <f t="shared" si="50"/>
        <v>5.26288</v>
      </c>
      <c r="T58" s="2">
        <v>8.1477120000000003</v>
      </c>
      <c r="U58" s="1"/>
      <c r="V58" s="1">
        <f>7.23*3.14</f>
        <v>22.702200000000001</v>
      </c>
      <c r="W58" s="2">
        <f t="shared" si="88"/>
        <v>5.26288</v>
      </c>
      <c r="X58" s="2">
        <f t="shared" si="51"/>
        <v>5.26288</v>
      </c>
      <c r="Y58" s="2">
        <f t="shared" si="52"/>
        <v>5.26288</v>
      </c>
      <c r="Z58" s="2">
        <v>7.59</v>
      </c>
      <c r="AA58" s="2">
        <f t="shared" si="53"/>
        <v>4.9997359999999995</v>
      </c>
      <c r="AB58" s="2">
        <f t="shared" si="54"/>
        <v>4.9997359999999995</v>
      </c>
      <c r="AC58" s="2">
        <f t="shared" si="55"/>
        <v>5.26288</v>
      </c>
      <c r="AD58" s="1">
        <f t="shared" si="56"/>
        <v>5.5260240000000005</v>
      </c>
      <c r="AE58" s="2">
        <f t="shared" si="57"/>
        <v>5.26288</v>
      </c>
      <c r="AF58" s="2">
        <f t="shared" si="58"/>
        <v>5.26288</v>
      </c>
      <c r="AG58" s="2">
        <f t="shared" si="59"/>
        <v>4.8418496000000006</v>
      </c>
      <c r="AH58" s="1">
        <f t="shared" si="60"/>
        <v>21.755999999999997</v>
      </c>
      <c r="AI58" s="2">
        <f t="shared" si="89"/>
        <v>5.26288</v>
      </c>
      <c r="AJ58" s="2">
        <f t="shared" si="27"/>
        <v>5.26288</v>
      </c>
      <c r="AK58" s="1">
        <f t="shared" si="61"/>
        <v>7.1575168000000007</v>
      </c>
      <c r="AL58" s="2">
        <f t="shared" si="62"/>
        <v>5.26288</v>
      </c>
      <c r="AM58" s="2">
        <f t="shared" si="63"/>
        <v>5.26288</v>
      </c>
      <c r="AN58" s="1">
        <f t="shared" si="64"/>
        <v>5.26288</v>
      </c>
      <c r="AO58" s="1">
        <f t="shared" si="65"/>
        <v>5.26288</v>
      </c>
      <c r="AP58" s="2">
        <f t="shared" si="66"/>
        <v>4.6059799999999997</v>
      </c>
      <c r="AQ58" s="2">
        <f t="shared" si="90"/>
        <v>5.26288</v>
      </c>
      <c r="AR58" s="1">
        <f t="shared" si="67"/>
        <v>15.54</v>
      </c>
      <c r="AS58" s="2">
        <f t="shared" si="81"/>
        <v>11.514949999999999</v>
      </c>
      <c r="AT58" s="2">
        <f t="shared" si="68"/>
        <v>5.26288</v>
      </c>
      <c r="AU58" s="2">
        <v>6.5625808500000016</v>
      </c>
      <c r="AV58" s="2">
        <f t="shared" si="91"/>
        <v>5.0665779999999998</v>
      </c>
      <c r="AW58" s="2">
        <f t="shared" si="69"/>
        <v>5.26288</v>
      </c>
      <c r="AX58" s="1">
        <f t="shared" si="70"/>
        <v>4.9997359999999995</v>
      </c>
      <c r="AY58" s="2" t="str">
        <f t="shared" si="71"/>
        <v>4.63 Per Unit</v>
      </c>
      <c r="AZ58" s="2">
        <f t="shared" si="72"/>
        <v>5.26288</v>
      </c>
      <c r="BA58" s="2">
        <f t="shared" si="82"/>
        <v>5.26288</v>
      </c>
      <c r="BB58" s="2">
        <f t="shared" si="83"/>
        <v>5.26288</v>
      </c>
      <c r="BC58" s="2">
        <f t="shared" si="84"/>
        <v>5.26288</v>
      </c>
      <c r="BD58" s="2">
        <f t="shared" si="85"/>
        <v>5.7891680000000001</v>
      </c>
      <c r="BE58" s="2">
        <f t="shared" si="86"/>
        <v>4.7365919999999999</v>
      </c>
      <c r="BF58" s="2">
        <f t="shared" si="73"/>
        <v>26.417999999999999</v>
      </c>
      <c r="BG58" s="2">
        <f t="shared" si="74"/>
        <v>5.26288</v>
      </c>
      <c r="BH58" s="2" t="str">
        <f t="shared" si="75"/>
        <v>5 Per Unit</v>
      </c>
      <c r="BI58" s="1">
        <f t="shared" si="76"/>
        <v>6.3154560000000002</v>
      </c>
      <c r="BJ58" s="2">
        <f t="shared" si="77"/>
        <v>5.26288</v>
      </c>
      <c r="BK58" s="2">
        <f t="shared" si="78"/>
        <v>4.9997359999999995</v>
      </c>
      <c r="BL58" s="2">
        <f t="shared" si="79"/>
        <v>5.26288</v>
      </c>
      <c r="BM58" s="2">
        <v>4.6619999999999999</v>
      </c>
      <c r="BN58" s="2">
        <f t="shared" si="80"/>
        <v>5.26288</v>
      </c>
      <c r="BO58" s="2">
        <f>MIN(N58:BN58:BN58)</f>
        <v>4.6059799999999997</v>
      </c>
      <c r="BP58" s="2">
        <f t="shared" si="87"/>
        <v>26.417999999999999</v>
      </c>
      <c r="BQ58" s="22"/>
    </row>
    <row r="59" spans="1:69" ht="20.100000000000001" customHeight="1" x14ac:dyDescent="0.2">
      <c r="A59" s="17">
        <f t="shared" si="41"/>
        <v>57</v>
      </c>
      <c r="B59" s="24">
        <v>84146</v>
      </c>
      <c r="C59" s="24">
        <v>3018414600</v>
      </c>
      <c r="D59" s="19" t="s">
        <v>129</v>
      </c>
      <c r="E59" s="18" t="s">
        <v>103</v>
      </c>
      <c r="F59" s="33">
        <v>116.28</v>
      </c>
      <c r="G59" s="24">
        <v>301</v>
      </c>
      <c r="H59" s="12">
        <v>0</v>
      </c>
      <c r="I59" s="24">
        <v>0</v>
      </c>
      <c r="J59" s="2">
        <f t="shared" si="45"/>
        <v>25.597103999999998</v>
      </c>
      <c r="K59" s="21" t="s">
        <v>104</v>
      </c>
      <c r="L59" s="2">
        <v>19.690079999999998</v>
      </c>
      <c r="M59" s="2">
        <v>17.132243000000003</v>
      </c>
      <c r="N59" s="1">
        <f>23.18*1.8</f>
        <v>41.724000000000004</v>
      </c>
      <c r="O59" s="2">
        <f t="shared" si="46"/>
        <v>19.690079999999998</v>
      </c>
      <c r="P59" s="1">
        <f t="shared" si="47"/>
        <v>75.582000000000008</v>
      </c>
      <c r="Q59" s="2">
        <f t="shared" si="48"/>
        <v>19.690079999999998</v>
      </c>
      <c r="R59" s="1">
        <f t="shared" si="49"/>
        <v>21.659088000000001</v>
      </c>
      <c r="S59" s="2">
        <f t="shared" si="50"/>
        <v>19.690079999999998</v>
      </c>
      <c r="T59" s="2">
        <v>30.532702000000004</v>
      </c>
      <c r="U59" s="1"/>
      <c r="V59" s="1">
        <f>27.08*3.14</f>
        <v>85.031199999999998</v>
      </c>
      <c r="W59" s="2">
        <f t="shared" si="88"/>
        <v>19.690079999999998</v>
      </c>
      <c r="X59" s="2">
        <f t="shared" si="51"/>
        <v>19.690079999999998</v>
      </c>
      <c r="Y59" s="2">
        <f t="shared" si="52"/>
        <v>19.690079999999998</v>
      </c>
      <c r="Z59" s="2">
        <v>28.35</v>
      </c>
      <c r="AA59" s="2">
        <f t="shared" si="53"/>
        <v>18.705575999999997</v>
      </c>
      <c r="AB59" s="2">
        <f t="shared" si="54"/>
        <v>18.705575999999997</v>
      </c>
      <c r="AC59" s="2">
        <f t="shared" si="55"/>
        <v>19.690079999999998</v>
      </c>
      <c r="AD59" s="1">
        <f t="shared" si="56"/>
        <v>20.674583999999999</v>
      </c>
      <c r="AE59" s="2">
        <f t="shared" si="57"/>
        <v>19.690079999999998</v>
      </c>
      <c r="AF59" s="2">
        <f t="shared" si="58"/>
        <v>19.690079999999998</v>
      </c>
      <c r="AG59" s="2">
        <f t="shared" si="59"/>
        <v>18.114873599999999</v>
      </c>
      <c r="AH59" s="1">
        <f t="shared" si="60"/>
        <v>81.396000000000001</v>
      </c>
      <c r="AI59" s="2">
        <f t="shared" si="89"/>
        <v>19.690079999999998</v>
      </c>
      <c r="AJ59" s="2">
        <f t="shared" si="27"/>
        <v>19.690079999999998</v>
      </c>
      <c r="AK59" s="1">
        <f t="shared" si="61"/>
        <v>26.778508800000001</v>
      </c>
      <c r="AL59" s="2">
        <f t="shared" si="62"/>
        <v>19.690079999999998</v>
      </c>
      <c r="AM59" s="2">
        <f t="shared" si="63"/>
        <v>19.690079999999998</v>
      </c>
      <c r="AN59" s="1">
        <f t="shared" si="64"/>
        <v>19.690079999999998</v>
      </c>
      <c r="AO59" s="1">
        <f t="shared" si="65"/>
        <v>19.690079999999998</v>
      </c>
      <c r="AP59" s="2">
        <f t="shared" si="66"/>
        <v>17.132243000000003</v>
      </c>
      <c r="AQ59" s="2">
        <f t="shared" si="90"/>
        <v>19.690079999999998</v>
      </c>
      <c r="AR59" s="1">
        <f t="shared" si="67"/>
        <v>58.14</v>
      </c>
      <c r="AS59" s="2">
        <f t="shared" si="81"/>
        <v>42.830607500000006</v>
      </c>
      <c r="AT59" s="2">
        <f t="shared" si="68"/>
        <v>19.690079999999998</v>
      </c>
      <c r="AU59" s="2">
        <v>24.552667350000004</v>
      </c>
      <c r="AV59" s="2">
        <f t="shared" si="91"/>
        <v>18.845467300000003</v>
      </c>
      <c r="AW59" s="2">
        <f t="shared" si="69"/>
        <v>19.690079999999998</v>
      </c>
      <c r="AX59" s="1">
        <f t="shared" si="70"/>
        <v>18.705575999999997</v>
      </c>
      <c r="AY59" s="2" t="str">
        <f t="shared" si="71"/>
        <v>17.33 Per Unit</v>
      </c>
      <c r="AZ59" s="2">
        <f t="shared" si="72"/>
        <v>19.690079999999998</v>
      </c>
      <c r="BA59" s="2">
        <f t="shared" si="82"/>
        <v>19.690079999999998</v>
      </c>
      <c r="BB59" s="2">
        <f t="shared" si="83"/>
        <v>19.690079999999998</v>
      </c>
      <c r="BC59" s="2">
        <f t="shared" si="84"/>
        <v>19.690079999999998</v>
      </c>
      <c r="BD59" s="2">
        <f t="shared" si="85"/>
        <v>21.659088000000001</v>
      </c>
      <c r="BE59" s="2">
        <f t="shared" si="86"/>
        <v>17.721071999999999</v>
      </c>
      <c r="BF59" s="2">
        <f t="shared" si="73"/>
        <v>98.837999999999994</v>
      </c>
      <c r="BG59" s="2">
        <f t="shared" si="74"/>
        <v>19.690079999999998</v>
      </c>
      <c r="BH59" s="2" t="str">
        <f t="shared" si="75"/>
        <v>18.71 Per Unit</v>
      </c>
      <c r="BI59" s="1">
        <f t="shared" si="76"/>
        <v>23.628095999999996</v>
      </c>
      <c r="BJ59" s="2">
        <f t="shared" si="77"/>
        <v>19.690079999999998</v>
      </c>
      <c r="BK59" s="2">
        <f t="shared" si="78"/>
        <v>18.705575999999997</v>
      </c>
      <c r="BL59" s="2">
        <f t="shared" si="79"/>
        <v>19.690079999999998</v>
      </c>
      <c r="BM59" s="2">
        <v>17.442</v>
      </c>
      <c r="BN59" s="2">
        <f t="shared" si="80"/>
        <v>19.690079999999998</v>
      </c>
      <c r="BO59" s="2">
        <f>MIN(N59:BN59:BN59)</f>
        <v>17.132243000000003</v>
      </c>
      <c r="BP59" s="2">
        <f t="shared" si="87"/>
        <v>98.837999999999994</v>
      </c>
      <c r="BQ59" s="22"/>
    </row>
    <row r="60" spans="1:69" ht="20.100000000000001" customHeight="1" x14ac:dyDescent="0.2">
      <c r="A60" s="17">
        <f t="shared" si="41"/>
        <v>58</v>
      </c>
      <c r="B60" s="24">
        <v>82565</v>
      </c>
      <c r="C60" s="24">
        <v>3018256500</v>
      </c>
      <c r="D60" s="26" t="s">
        <v>130</v>
      </c>
      <c r="E60" s="18" t="s">
        <v>103</v>
      </c>
      <c r="F60" s="33">
        <v>30.72</v>
      </c>
      <c r="G60" s="24">
        <v>301</v>
      </c>
      <c r="H60" s="12">
        <v>0</v>
      </c>
      <c r="I60" s="24">
        <v>0</v>
      </c>
      <c r="J60" s="2">
        <f t="shared" si="45"/>
        <v>6.7624960000000005</v>
      </c>
      <c r="K60" s="21" t="s">
        <v>104</v>
      </c>
      <c r="L60" s="2">
        <v>5.2019200000000003</v>
      </c>
      <c r="M60" s="2">
        <v>4.3156030000000003</v>
      </c>
      <c r="N60" s="1">
        <f>6.14*1.8</f>
        <v>11.052</v>
      </c>
      <c r="O60" s="2">
        <f t="shared" si="46"/>
        <v>5.2019200000000003</v>
      </c>
      <c r="P60" s="1">
        <f t="shared" si="47"/>
        <v>19.968</v>
      </c>
      <c r="Q60" s="2">
        <f t="shared" si="48"/>
        <v>5.2019200000000003</v>
      </c>
      <c r="R60" s="1">
        <f t="shared" si="49"/>
        <v>5.722112000000001</v>
      </c>
      <c r="S60" s="2">
        <f t="shared" si="50"/>
        <v>5.2019200000000003</v>
      </c>
      <c r="T60" s="2">
        <v>8.0628399999999996</v>
      </c>
      <c r="U60" s="1"/>
      <c r="V60" s="1">
        <f>7.1599998474121*3.14</f>
        <v>22.482399520873994</v>
      </c>
      <c r="W60" s="2">
        <f t="shared" si="88"/>
        <v>5.2019200000000003</v>
      </c>
      <c r="X60" s="2">
        <f t="shared" si="51"/>
        <v>5.2019200000000003</v>
      </c>
      <c r="Y60" s="2">
        <f t="shared" si="52"/>
        <v>5.2019200000000003</v>
      </c>
      <c r="Z60" s="2">
        <v>7.5</v>
      </c>
      <c r="AA60" s="2">
        <f t="shared" si="53"/>
        <v>4.9418240000000004</v>
      </c>
      <c r="AB60" s="2">
        <f t="shared" si="54"/>
        <v>4.9418240000000004</v>
      </c>
      <c r="AC60" s="2">
        <f t="shared" si="55"/>
        <v>5.2019200000000003</v>
      </c>
      <c r="AD60" s="1">
        <f t="shared" si="56"/>
        <v>5.4620160000000002</v>
      </c>
      <c r="AE60" s="2">
        <f t="shared" si="57"/>
        <v>5.2019200000000003</v>
      </c>
      <c r="AF60" s="2">
        <f t="shared" si="58"/>
        <v>5.2019200000000003</v>
      </c>
      <c r="AG60" s="2">
        <f t="shared" si="59"/>
        <v>4.7857664000000009</v>
      </c>
      <c r="AH60" s="1">
        <f t="shared" si="60"/>
        <v>21.503999999999998</v>
      </c>
      <c r="AI60" s="2">
        <f t="shared" si="89"/>
        <v>5.2019200000000003</v>
      </c>
      <c r="AJ60" s="2">
        <f t="shared" si="27"/>
        <v>5.2019200000000003</v>
      </c>
      <c r="AK60" s="1">
        <f t="shared" si="61"/>
        <v>7.0746112000000005</v>
      </c>
      <c r="AL60" s="2">
        <f t="shared" si="62"/>
        <v>5.2019200000000003</v>
      </c>
      <c r="AM60" s="2">
        <f t="shared" si="63"/>
        <v>5.2019200000000003</v>
      </c>
      <c r="AN60" s="1">
        <f t="shared" si="64"/>
        <v>5.2019200000000003</v>
      </c>
      <c r="AO60" s="1">
        <f t="shared" si="65"/>
        <v>5.2019200000000003</v>
      </c>
      <c r="AP60" s="2">
        <f t="shared" si="66"/>
        <v>4.3156030000000003</v>
      </c>
      <c r="AQ60" s="2">
        <f t="shared" si="90"/>
        <v>5.2019200000000003</v>
      </c>
      <c r="AR60" s="1">
        <f t="shared" si="67"/>
        <v>15.36</v>
      </c>
      <c r="AS60" s="2">
        <f t="shared" si="81"/>
        <v>10.7890075</v>
      </c>
      <c r="AT60" s="2">
        <f t="shared" si="68"/>
        <v>5.2019200000000003</v>
      </c>
      <c r="AU60" s="2">
        <v>6.486566400000001</v>
      </c>
      <c r="AV60" s="2">
        <f t="shared" si="91"/>
        <v>4.7471633000000004</v>
      </c>
      <c r="AW60" s="2">
        <f t="shared" si="69"/>
        <v>5.2019200000000003</v>
      </c>
      <c r="AX60" s="1">
        <f t="shared" si="70"/>
        <v>4.9418240000000004</v>
      </c>
      <c r="AY60" s="2" t="str">
        <f t="shared" si="71"/>
        <v>4.58 Per Unit</v>
      </c>
      <c r="AZ60" s="2">
        <f t="shared" si="72"/>
        <v>5.2019200000000003</v>
      </c>
      <c r="BA60" s="2">
        <f t="shared" si="82"/>
        <v>5.2019200000000003</v>
      </c>
      <c r="BB60" s="2">
        <f t="shared" si="83"/>
        <v>5.2019200000000003</v>
      </c>
      <c r="BC60" s="2">
        <f t="shared" si="84"/>
        <v>5.2019200000000003</v>
      </c>
      <c r="BD60" s="2">
        <f t="shared" si="85"/>
        <v>5.722112000000001</v>
      </c>
      <c r="BE60" s="2">
        <f t="shared" si="86"/>
        <v>4.6817280000000006</v>
      </c>
      <c r="BF60" s="2">
        <f t="shared" si="73"/>
        <v>26.111999999999998</v>
      </c>
      <c r="BG60" s="2">
        <f t="shared" si="74"/>
        <v>5.2019200000000003</v>
      </c>
      <c r="BH60" s="2" t="str">
        <f t="shared" si="75"/>
        <v>4.94 Per Unit</v>
      </c>
      <c r="BI60" s="1">
        <f t="shared" si="76"/>
        <v>6.2423039999999999</v>
      </c>
      <c r="BJ60" s="2">
        <f t="shared" si="77"/>
        <v>5.2019200000000003</v>
      </c>
      <c r="BK60" s="2">
        <f t="shared" si="78"/>
        <v>4.9418240000000004</v>
      </c>
      <c r="BL60" s="2">
        <f t="shared" si="79"/>
        <v>5.2019200000000003</v>
      </c>
      <c r="BM60" s="2">
        <v>4.6080000000000005</v>
      </c>
      <c r="BN60" s="2">
        <f t="shared" si="80"/>
        <v>5.2019200000000003</v>
      </c>
      <c r="BO60" s="2">
        <f>MIN(N60:BN60:BN60)</f>
        <v>4.3156030000000003</v>
      </c>
      <c r="BP60" s="2">
        <f t="shared" si="87"/>
        <v>26.111999999999998</v>
      </c>
      <c r="BQ60" s="22"/>
    </row>
    <row r="61" spans="1:69" ht="20.100000000000001" customHeight="1" x14ac:dyDescent="0.2">
      <c r="A61" s="17">
        <f t="shared" si="41"/>
        <v>59</v>
      </c>
      <c r="B61" s="24">
        <v>83540</v>
      </c>
      <c r="C61" s="24">
        <v>3018354000</v>
      </c>
      <c r="D61" s="19" t="s">
        <v>131</v>
      </c>
      <c r="E61" s="18" t="s">
        <v>103</v>
      </c>
      <c r="F61" s="33">
        <v>38.82</v>
      </c>
      <c r="G61" s="24">
        <v>301</v>
      </c>
      <c r="H61" s="12">
        <v>0</v>
      </c>
      <c r="I61" s="24">
        <v>0</v>
      </c>
      <c r="J61" s="2">
        <f t="shared" si="45"/>
        <v>8.5455760000000005</v>
      </c>
      <c r="K61" s="21" t="s">
        <v>104</v>
      </c>
      <c r="L61" s="2">
        <v>6.5735200000000003</v>
      </c>
      <c r="M61" s="2">
        <v>5.727436</v>
      </c>
      <c r="N61" s="1">
        <f>7.75*1.8</f>
        <v>13.950000000000001</v>
      </c>
      <c r="O61" s="2">
        <f t="shared" si="46"/>
        <v>6.5735200000000003</v>
      </c>
      <c r="P61" s="1">
        <f t="shared" si="47"/>
        <v>25.233000000000001</v>
      </c>
      <c r="Q61" s="2">
        <f t="shared" si="48"/>
        <v>6.5735200000000003</v>
      </c>
      <c r="R61" s="1">
        <f t="shared" si="49"/>
        <v>7.2308720000000006</v>
      </c>
      <c r="S61" s="2">
        <f t="shared" si="50"/>
        <v>6.5735200000000003</v>
      </c>
      <c r="T61" s="2">
        <v>10.205858000000001</v>
      </c>
      <c r="U61" s="1"/>
      <c r="V61" s="1">
        <f>9.05000019073486*3.14</f>
        <v>28.41700059890746</v>
      </c>
      <c r="W61" s="2">
        <f t="shared" si="88"/>
        <v>6.5735200000000003</v>
      </c>
      <c r="X61" s="2">
        <f t="shared" si="51"/>
        <v>6.5735200000000003</v>
      </c>
      <c r="Y61" s="2">
        <f t="shared" si="52"/>
        <v>6.5735200000000003</v>
      </c>
      <c r="Z61" s="2">
        <v>9.48</v>
      </c>
      <c r="AA61" s="2">
        <f t="shared" si="53"/>
        <v>6.2448439999999996</v>
      </c>
      <c r="AB61" s="2">
        <f t="shared" si="54"/>
        <v>6.2448439999999996</v>
      </c>
      <c r="AC61" s="2">
        <f t="shared" si="55"/>
        <v>6.5735200000000003</v>
      </c>
      <c r="AD61" s="1">
        <f t="shared" si="56"/>
        <v>6.9021960000000009</v>
      </c>
      <c r="AE61" s="2">
        <f t="shared" si="57"/>
        <v>6.5735200000000003</v>
      </c>
      <c r="AF61" s="2">
        <f t="shared" si="58"/>
        <v>6.5735200000000003</v>
      </c>
      <c r="AG61" s="2">
        <f t="shared" si="59"/>
        <v>6.0476384000000003</v>
      </c>
      <c r="AH61" s="1">
        <f t="shared" si="60"/>
        <v>27.173999999999999</v>
      </c>
      <c r="AI61" s="2">
        <f t="shared" si="89"/>
        <v>6.5735200000000003</v>
      </c>
      <c r="AJ61" s="2">
        <f t="shared" si="27"/>
        <v>6.5735200000000003</v>
      </c>
      <c r="AK61" s="1">
        <f t="shared" si="61"/>
        <v>8.9399872000000009</v>
      </c>
      <c r="AL61" s="2">
        <f t="shared" si="62"/>
        <v>6.5735200000000003</v>
      </c>
      <c r="AM61" s="2">
        <f t="shared" si="63"/>
        <v>6.5735200000000003</v>
      </c>
      <c r="AN61" s="1">
        <f t="shared" si="64"/>
        <v>6.5735200000000003</v>
      </c>
      <c r="AO61" s="1">
        <f t="shared" si="65"/>
        <v>6.5735200000000003</v>
      </c>
      <c r="AP61" s="2">
        <f t="shared" si="66"/>
        <v>5.727436</v>
      </c>
      <c r="AQ61" s="2">
        <f t="shared" si="90"/>
        <v>6.5735200000000003</v>
      </c>
      <c r="AR61" s="1">
        <f t="shared" si="67"/>
        <v>19.41</v>
      </c>
      <c r="AS61" s="2">
        <f t="shared" si="81"/>
        <v>14.31859</v>
      </c>
      <c r="AT61" s="2">
        <f t="shared" si="68"/>
        <v>6.5735200000000003</v>
      </c>
      <c r="AU61" s="2">
        <v>8.1968915250000016</v>
      </c>
      <c r="AV61" s="2">
        <f t="shared" si="91"/>
        <v>6.3001796000000008</v>
      </c>
      <c r="AW61" s="2">
        <f t="shared" si="69"/>
        <v>6.5735200000000003</v>
      </c>
      <c r="AX61" s="1">
        <f t="shared" si="70"/>
        <v>6.2448439999999996</v>
      </c>
      <c r="AY61" s="2" t="str">
        <f t="shared" si="71"/>
        <v>5.78 Per Unit</v>
      </c>
      <c r="AZ61" s="2">
        <f t="shared" si="72"/>
        <v>6.5735200000000003</v>
      </c>
      <c r="BA61" s="2">
        <f t="shared" si="82"/>
        <v>6.5735200000000003</v>
      </c>
      <c r="BB61" s="2">
        <f t="shared" si="83"/>
        <v>6.5735200000000003</v>
      </c>
      <c r="BC61" s="2">
        <f t="shared" si="84"/>
        <v>6.5735200000000003</v>
      </c>
      <c r="BD61" s="2">
        <f t="shared" si="85"/>
        <v>7.2308720000000006</v>
      </c>
      <c r="BE61" s="2">
        <f t="shared" si="86"/>
        <v>5.9161680000000008</v>
      </c>
      <c r="BF61" s="2">
        <f t="shared" si="73"/>
        <v>32.997</v>
      </c>
      <c r="BG61" s="2">
        <f t="shared" si="74"/>
        <v>6.5735200000000003</v>
      </c>
      <c r="BH61" s="2" t="str">
        <f t="shared" si="75"/>
        <v>6.24 Per Unit</v>
      </c>
      <c r="BI61" s="1">
        <f t="shared" si="76"/>
        <v>7.8882240000000001</v>
      </c>
      <c r="BJ61" s="2">
        <f t="shared" si="77"/>
        <v>6.5735200000000003</v>
      </c>
      <c r="BK61" s="2">
        <f t="shared" si="78"/>
        <v>6.2448439999999996</v>
      </c>
      <c r="BL61" s="2">
        <f t="shared" si="79"/>
        <v>6.5735200000000003</v>
      </c>
      <c r="BM61" s="2">
        <v>5.8229999999999995</v>
      </c>
      <c r="BN61" s="2">
        <f t="shared" si="80"/>
        <v>6.5735200000000003</v>
      </c>
      <c r="BO61" s="2">
        <f>MIN(N61:BN61:BN61)</f>
        <v>5.727436</v>
      </c>
      <c r="BP61" s="2">
        <f t="shared" si="87"/>
        <v>32.997</v>
      </c>
      <c r="BQ61" s="22"/>
    </row>
    <row r="62" spans="1:69" ht="20.100000000000001" customHeight="1" x14ac:dyDescent="0.2">
      <c r="A62" s="17">
        <f t="shared" si="41"/>
        <v>60</v>
      </c>
      <c r="B62" s="24">
        <v>82570</v>
      </c>
      <c r="C62" s="24">
        <v>3018257000</v>
      </c>
      <c r="D62" s="19" t="s">
        <v>132</v>
      </c>
      <c r="E62" s="18" t="s">
        <v>103</v>
      </c>
      <c r="F62" s="33">
        <v>31.08</v>
      </c>
      <c r="G62" s="24">
        <v>301</v>
      </c>
      <c r="H62" s="12">
        <v>0</v>
      </c>
      <c r="I62" s="24">
        <v>0</v>
      </c>
      <c r="J62" s="2">
        <f t="shared" si="45"/>
        <v>6.8417440000000003</v>
      </c>
      <c r="K62" s="21" t="s">
        <v>104</v>
      </c>
      <c r="L62" s="2">
        <v>5.26288</v>
      </c>
      <c r="M62" s="2">
        <v>4.6059799999999997</v>
      </c>
      <c r="N62" s="1">
        <f>6.19*1.8</f>
        <v>11.142000000000001</v>
      </c>
      <c r="O62" s="2">
        <f t="shared" si="46"/>
        <v>5.26288</v>
      </c>
      <c r="P62" s="1">
        <f t="shared" si="47"/>
        <v>20.201999999999998</v>
      </c>
      <c r="Q62" s="2">
        <f t="shared" si="48"/>
        <v>5.26288</v>
      </c>
      <c r="R62" s="1">
        <f t="shared" si="49"/>
        <v>5.7891680000000001</v>
      </c>
      <c r="S62" s="2">
        <f t="shared" si="50"/>
        <v>5.26288</v>
      </c>
      <c r="T62" s="2">
        <v>8.1477120000000003</v>
      </c>
      <c r="U62" s="1"/>
      <c r="V62" s="1">
        <f>7.23000001907348*3.14</f>
        <v>22.702200059890728</v>
      </c>
      <c r="W62" s="2">
        <f t="shared" si="88"/>
        <v>5.26288</v>
      </c>
      <c r="X62" s="2">
        <f t="shared" si="51"/>
        <v>5.26288</v>
      </c>
      <c r="Y62" s="2">
        <f t="shared" si="52"/>
        <v>5.26288</v>
      </c>
      <c r="Z62" s="2">
        <v>7.59</v>
      </c>
      <c r="AA62" s="2">
        <f t="shared" si="53"/>
        <v>4.9997359999999995</v>
      </c>
      <c r="AB62" s="2">
        <f t="shared" si="54"/>
        <v>4.9997359999999995</v>
      </c>
      <c r="AC62" s="2">
        <f t="shared" si="55"/>
        <v>5.26288</v>
      </c>
      <c r="AD62" s="1">
        <f t="shared" si="56"/>
        <v>5.5260240000000005</v>
      </c>
      <c r="AE62" s="2">
        <f t="shared" si="57"/>
        <v>5.26288</v>
      </c>
      <c r="AF62" s="2">
        <f t="shared" si="58"/>
        <v>5.26288</v>
      </c>
      <c r="AG62" s="2">
        <f t="shared" si="59"/>
        <v>4.8418496000000006</v>
      </c>
      <c r="AH62" s="1">
        <f t="shared" si="60"/>
        <v>21.755999999999997</v>
      </c>
      <c r="AI62" s="2">
        <f t="shared" si="89"/>
        <v>5.26288</v>
      </c>
      <c r="AJ62" s="2">
        <f t="shared" si="27"/>
        <v>5.26288</v>
      </c>
      <c r="AK62" s="1">
        <f t="shared" si="61"/>
        <v>7.1575168000000007</v>
      </c>
      <c r="AL62" s="2">
        <f t="shared" si="62"/>
        <v>5.26288</v>
      </c>
      <c r="AM62" s="2">
        <f t="shared" si="63"/>
        <v>5.26288</v>
      </c>
      <c r="AN62" s="1">
        <f t="shared" si="64"/>
        <v>5.26288</v>
      </c>
      <c r="AO62" s="1">
        <f t="shared" si="65"/>
        <v>5.26288</v>
      </c>
      <c r="AP62" s="2">
        <f t="shared" si="66"/>
        <v>4.6059799999999997</v>
      </c>
      <c r="AQ62" s="2">
        <f t="shared" si="90"/>
        <v>5.26288</v>
      </c>
      <c r="AR62" s="1">
        <f t="shared" si="67"/>
        <v>15.54</v>
      </c>
      <c r="AS62" s="2">
        <f t="shared" si="81"/>
        <v>11.514949999999999</v>
      </c>
      <c r="AT62" s="2">
        <f t="shared" si="68"/>
        <v>5.26288</v>
      </c>
      <c r="AU62" s="2">
        <v>6.5625808500000016</v>
      </c>
      <c r="AV62" s="2">
        <f t="shared" si="91"/>
        <v>5.0665779999999998</v>
      </c>
      <c r="AW62" s="2">
        <f t="shared" si="69"/>
        <v>5.26288</v>
      </c>
      <c r="AX62" s="1">
        <f t="shared" si="70"/>
        <v>4.9997359999999995</v>
      </c>
      <c r="AY62" s="2" t="str">
        <f t="shared" si="71"/>
        <v>4.63 Per Unit</v>
      </c>
      <c r="AZ62" s="2">
        <f t="shared" si="72"/>
        <v>5.26288</v>
      </c>
      <c r="BA62" s="2">
        <f t="shared" si="82"/>
        <v>5.26288</v>
      </c>
      <c r="BB62" s="2">
        <f t="shared" si="83"/>
        <v>5.26288</v>
      </c>
      <c r="BC62" s="2">
        <f t="shared" si="84"/>
        <v>5.26288</v>
      </c>
      <c r="BD62" s="2">
        <f t="shared" si="85"/>
        <v>5.7891680000000001</v>
      </c>
      <c r="BE62" s="2">
        <f t="shared" si="86"/>
        <v>4.7365919999999999</v>
      </c>
      <c r="BF62" s="2">
        <f t="shared" si="73"/>
        <v>26.417999999999999</v>
      </c>
      <c r="BG62" s="2">
        <f t="shared" si="74"/>
        <v>5.26288</v>
      </c>
      <c r="BH62" s="2" t="str">
        <f t="shared" si="75"/>
        <v>5 Per Unit</v>
      </c>
      <c r="BI62" s="1">
        <f t="shared" si="76"/>
        <v>6.3154560000000002</v>
      </c>
      <c r="BJ62" s="2">
        <f t="shared" si="77"/>
        <v>5.26288</v>
      </c>
      <c r="BK62" s="2">
        <f t="shared" si="78"/>
        <v>4.9997359999999995</v>
      </c>
      <c r="BL62" s="2">
        <f t="shared" si="79"/>
        <v>5.26288</v>
      </c>
      <c r="BM62" s="2">
        <v>4.6619999999999999</v>
      </c>
      <c r="BN62" s="2">
        <f t="shared" si="80"/>
        <v>5.26288</v>
      </c>
      <c r="BO62" s="2">
        <f>MIN(N62:BN62:BN62)</f>
        <v>4.6059799999999997</v>
      </c>
      <c r="BP62" s="2">
        <f t="shared" si="87"/>
        <v>26.417999999999999</v>
      </c>
      <c r="BQ62" s="22"/>
    </row>
    <row r="63" spans="1:69" ht="20.100000000000001" customHeight="1" x14ac:dyDescent="0.2">
      <c r="A63" s="17">
        <f t="shared" si="41"/>
        <v>61</v>
      </c>
      <c r="B63" s="24">
        <v>87081</v>
      </c>
      <c r="C63" s="24">
        <v>3068708100</v>
      </c>
      <c r="D63" s="19" t="s">
        <v>133</v>
      </c>
      <c r="E63" s="18" t="s">
        <v>103</v>
      </c>
      <c r="F63" s="33">
        <v>39.78</v>
      </c>
      <c r="G63" s="24">
        <v>306</v>
      </c>
      <c r="H63" s="12">
        <v>0</v>
      </c>
      <c r="I63" s="24">
        <v>0</v>
      </c>
      <c r="J63" s="2">
        <f t="shared" si="45"/>
        <v>8.7569040000000005</v>
      </c>
      <c r="K63" s="21" t="s">
        <v>104</v>
      </c>
      <c r="L63" s="2">
        <v>6.7360800000000003</v>
      </c>
      <c r="M63" s="2">
        <v>5.6873839999999998</v>
      </c>
      <c r="N63" s="1">
        <f>7.93*1.8</f>
        <v>14.273999999999999</v>
      </c>
      <c r="O63" s="2">
        <f t="shared" si="46"/>
        <v>6.7360800000000003</v>
      </c>
      <c r="P63" s="1">
        <f t="shared" si="47"/>
        <v>25.857000000000003</v>
      </c>
      <c r="Q63" s="2">
        <f t="shared" si="48"/>
        <v>6.7360800000000003</v>
      </c>
      <c r="R63" s="1">
        <f t="shared" si="49"/>
        <v>7.4096880000000009</v>
      </c>
      <c r="S63" s="2">
        <f t="shared" si="50"/>
        <v>6.7360800000000003</v>
      </c>
      <c r="T63" s="2">
        <v>10.364993</v>
      </c>
      <c r="U63" s="1"/>
      <c r="V63" s="1">
        <v>23</v>
      </c>
      <c r="W63" s="2">
        <f t="shared" si="88"/>
        <v>6.7360800000000003</v>
      </c>
      <c r="X63" s="2">
        <f t="shared" si="51"/>
        <v>6.7360800000000003</v>
      </c>
      <c r="Y63" s="2">
        <f t="shared" si="52"/>
        <v>6.7360800000000003</v>
      </c>
      <c r="Z63" s="2">
        <v>9.7100000000000009</v>
      </c>
      <c r="AA63" s="2">
        <f t="shared" si="53"/>
        <v>6.3992760000000004</v>
      </c>
      <c r="AB63" s="2">
        <f t="shared" si="54"/>
        <v>6.3992760000000004</v>
      </c>
      <c r="AC63" s="2">
        <f t="shared" si="55"/>
        <v>6.7360800000000003</v>
      </c>
      <c r="AD63" s="1">
        <f t="shared" si="56"/>
        <v>7.0728840000000002</v>
      </c>
      <c r="AE63" s="2">
        <f t="shared" si="57"/>
        <v>6.7360800000000003</v>
      </c>
      <c r="AF63" s="2">
        <f t="shared" si="58"/>
        <v>6.7360800000000003</v>
      </c>
      <c r="AG63" s="2">
        <f t="shared" si="59"/>
        <v>6.1971936000000003</v>
      </c>
      <c r="AH63" s="1">
        <f t="shared" si="60"/>
        <v>27.846</v>
      </c>
      <c r="AI63" s="2">
        <f t="shared" si="89"/>
        <v>6.7360800000000003</v>
      </c>
      <c r="AJ63" s="2">
        <f t="shared" si="27"/>
        <v>6.7360800000000003</v>
      </c>
      <c r="AK63" s="1">
        <f t="shared" si="61"/>
        <v>9.1610688000000007</v>
      </c>
      <c r="AL63" s="2">
        <f t="shared" si="62"/>
        <v>6.7360800000000003</v>
      </c>
      <c r="AM63" s="2">
        <f t="shared" si="63"/>
        <v>6.7360800000000003</v>
      </c>
      <c r="AN63" s="1">
        <f t="shared" si="64"/>
        <v>6.7360800000000003</v>
      </c>
      <c r="AO63" s="1">
        <f t="shared" si="65"/>
        <v>6.7360800000000003</v>
      </c>
      <c r="AP63" s="2">
        <f t="shared" si="66"/>
        <v>5.6873839999999998</v>
      </c>
      <c r="AQ63" s="2">
        <f t="shared" si="90"/>
        <v>6.7360800000000003</v>
      </c>
      <c r="AR63" s="1">
        <f t="shared" si="67"/>
        <v>19.89</v>
      </c>
      <c r="AS63" s="2">
        <f t="shared" si="81"/>
        <v>14.21846</v>
      </c>
      <c r="AT63" s="2">
        <f t="shared" si="68"/>
        <v>6.7360800000000003</v>
      </c>
      <c r="AU63" s="2">
        <v>8.3995967250000021</v>
      </c>
      <c r="AV63" s="2">
        <f t="shared" si="91"/>
        <v>6.2561224000000006</v>
      </c>
      <c r="AW63" s="2">
        <f t="shared" si="69"/>
        <v>6.7360800000000003</v>
      </c>
      <c r="AX63" s="1">
        <f t="shared" si="70"/>
        <v>6.3992760000000004</v>
      </c>
      <c r="AY63" s="2" t="str">
        <f t="shared" si="71"/>
        <v>5.93 Per Unit</v>
      </c>
      <c r="AZ63" s="2">
        <f t="shared" si="72"/>
        <v>6.7360800000000003</v>
      </c>
      <c r="BA63" s="2">
        <f t="shared" si="82"/>
        <v>6.7360800000000003</v>
      </c>
      <c r="BB63" s="2">
        <f t="shared" si="83"/>
        <v>6.7360800000000003</v>
      </c>
      <c r="BC63" s="2">
        <f t="shared" si="84"/>
        <v>6.7360800000000003</v>
      </c>
      <c r="BD63" s="2">
        <f t="shared" si="85"/>
        <v>7.4096880000000009</v>
      </c>
      <c r="BE63" s="2">
        <f t="shared" si="86"/>
        <v>6.0624720000000005</v>
      </c>
      <c r="BF63" s="2">
        <f t="shared" si="73"/>
        <v>33.813000000000002</v>
      </c>
      <c r="BG63" s="2">
        <f t="shared" si="74"/>
        <v>6.7360800000000003</v>
      </c>
      <c r="BH63" s="2" t="str">
        <f t="shared" si="75"/>
        <v>6.4 Per Unit</v>
      </c>
      <c r="BI63" s="1">
        <f t="shared" si="76"/>
        <v>8.0832960000000007</v>
      </c>
      <c r="BJ63" s="2">
        <f t="shared" si="77"/>
        <v>6.7360800000000003</v>
      </c>
      <c r="BK63" s="2">
        <f t="shared" si="78"/>
        <v>6.3992760000000004</v>
      </c>
      <c r="BL63" s="2">
        <f t="shared" si="79"/>
        <v>6.7360800000000003</v>
      </c>
      <c r="BM63" s="2">
        <v>5.9669999999999996</v>
      </c>
      <c r="BN63" s="2">
        <f t="shared" si="80"/>
        <v>6.7360800000000003</v>
      </c>
      <c r="BO63" s="2">
        <f>MIN(N63:BN63:BN63)</f>
        <v>5.6873839999999998</v>
      </c>
      <c r="BP63" s="2">
        <f t="shared" si="87"/>
        <v>33.813000000000002</v>
      </c>
      <c r="BQ63" s="22"/>
    </row>
    <row r="64" spans="1:69" ht="20.100000000000001" customHeight="1" x14ac:dyDescent="0.2">
      <c r="A64" s="17">
        <f t="shared" si="41"/>
        <v>62</v>
      </c>
      <c r="B64" s="24">
        <v>84155</v>
      </c>
      <c r="C64" s="24">
        <v>3018415500</v>
      </c>
      <c r="D64" s="26" t="s">
        <v>134</v>
      </c>
      <c r="E64" s="18" t="s">
        <v>103</v>
      </c>
      <c r="F64" s="33">
        <v>22.02</v>
      </c>
      <c r="G64" s="24">
        <v>301</v>
      </c>
      <c r="H64" s="12">
        <v>0</v>
      </c>
      <c r="I64" s="24">
        <v>0</v>
      </c>
      <c r="J64" s="2">
        <f t="shared" si="45"/>
        <v>4.8473360000000003</v>
      </c>
      <c r="K64" s="21" t="s">
        <v>104</v>
      </c>
      <c r="L64" s="2">
        <v>3.72872</v>
      </c>
      <c r="M64" s="2">
        <v>2.963848</v>
      </c>
      <c r="N64" s="1">
        <f>4.39*1.8</f>
        <v>7.9019999999999992</v>
      </c>
      <c r="O64" s="2">
        <f t="shared" si="46"/>
        <v>3.72872</v>
      </c>
      <c r="P64" s="1">
        <f t="shared" si="47"/>
        <v>14.313000000000001</v>
      </c>
      <c r="Q64" s="2">
        <f t="shared" si="48"/>
        <v>3.72872</v>
      </c>
      <c r="R64" s="1">
        <f t="shared" si="49"/>
        <v>4.1015920000000001</v>
      </c>
      <c r="S64" s="2">
        <f t="shared" si="50"/>
        <v>3.72872</v>
      </c>
      <c r="T64" s="2">
        <v>5.7712960000000004</v>
      </c>
      <c r="U64" s="1"/>
      <c r="V64" s="1">
        <v>12.73</v>
      </c>
      <c r="W64" s="2">
        <f t="shared" si="88"/>
        <v>3.72872</v>
      </c>
      <c r="X64" s="2">
        <f t="shared" si="51"/>
        <v>3.72872</v>
      </c>
      <c r="Y64" s="2">
        <f t="shared" si="52"/>
        <v>3.72872</v>
      </c>
      <c r="Z64" s="2">
        <v>5.39</v>
      </c>
      <c r="AA64" s="2">
        <f t="shared" si="53"/>
        <v>3.542284</v>
      </c>
      <c r="AB64" s="2">
        <f t="shared" si="54"/>
        <v>3.542284</v>
      </c>
      <c r="AC64" s="2">
        <f t="shared" si="55"/>
        <v>3.72872</v>
      </c>
      <c r="AD64" s="1">
        <f t="shared" si="56"/>
        <v>3.9151560000000001</v>
      </c>
      <c r="AE64" s="2">
        <f t="shared" si="57"/>
        <v>3.72872</v>
      </c>
      <c r="AF64" s="2">
        <f t="shared" si="58"/>
        <v>3.72872</v>
      </c>
      <c r="AG64" s="2">
        <f t="shared" si="59"/>
        <v>3.4304224000000003</v>
      </c>
      <c r="AH64" s="1">
        <f t="shared" si="60"/>
        <v>15.413999999999998</v>
      </c>
      <c r="AI64" s="2">
        <f t="shared" si="89"/>
        <v>3.72872</v>
      </c>
      <c r="AJ64" s="2">
        <f t="shared" si="27"/>
        <v>3.72872</v>
      </c>
      <c r="AK64" s="1">
        <f t="shared" si="61"/>
        <v>5.0710592000000005</v>
      </c>
      <c r="AL64" s="2">
        <f t="shared" si="62"/>
        <v>3.72872</v>
      </c>
      <c r="AM64" s="2">
        <f t="shared" si="63"/>
        <v>3.72872</v>
      </c>
      <c r="AN64" s="1">
        <f t="shared" si="64"/>
        <v>3.72872</v>
      </c>
      <c r="AO64" s="1">
        <f t="shared" si="65"/>
        <v>3.72872</v>
      </c>
      <c r="AP64" s="2">
        <f t="shared" si="66"/>
        <v>2.963848</v>
      </c>
      <c r="AQ64" s="2">
        <f t="shared" si="90"/>
        <v>3.72872</v>
      </c>
      <c r="AR64" s="1">
        <f t="shared" si="67"/>
        <v>11.01</v>
      </c>
      <c r="AS64" s="2">
        <f t="shared" si="81"/>
        <v>7.4096200000000003</v>
      </c>
      <c r="AT64" s="2">
        <f t="shared" si="68"/>
        <v>3.72872</v>
      </c>
      <c r="AU64" s="2">
        <v>4.6495505250000013</v>
      </c>
      <c r="AV64" s="2">
        <f t="shared" si="91"/>
        <v>3.2602328000000003</v>
      </c>
      <c r="AW64" s="2">
        <f t="shared" si="69"/>
        <v>3.72872</v>
      </c>
      <c r="AX64" s="1">
        <f t="shared" si="70"/>
        <v>3.542284</v>
      </c>
      <c r="AY64" s="2" t="str">
        <f t="shared" si="71"/>
        <v>3.28 Per Unit</v>
      </c>
      <c r="AZ64" s="2">
        <f t="shared" si="72"/>
        <v>3.72872</v>
      </c>
      <c r="BA64" s="2">
        <f t="shared" si="82"/>
        <v>3.72872</v>
      </c>
      <c r="BB64" s="2">
        <f t="shared" si="83"/>
        <v>3.72872</v>
      </c>
      <c r="BC64" s="2">
        <f t="shared" si="84"/>
        <v>3.72872</v>
      </c>
      <c r="BD64" s="2">
        <f t="shared" si="85"/>
        <v>4.1015920000000001</v>
      </c>
      <c r="BE64" s="2">
        <f t="shared" si="86"/>
        <v>3.3558479999999999</v>
      </c>
      <c r="BF64" s="2">
        <f t="shared" si="73"/>
        <v>18.716999999999999</v>
      </c>
      <c r="BG64" s="2">
        <f t="shared" si="74"/>
        <v>3.72872</v>
      </c>
      <c r="BH64" s="2" t="str">
        <f t="shared" si="75"/>
        <v>3.54 Per Unit</v>
      </c>
      <c r="BI64" s="1">
        <f t="shared" si="76"/>
        <v>4.4744640000000002</v>
      </c>
      <c r="BJ64" s="2">
        <f t="shared" si="77"/>
        <v>3.72872</v>
      </c>
      <c r="BK64" s="2">
        <f t="shared" si="78"/>
        <v>3.542284</v>
      </c>
      <c r="BL64" s="2">
        <f t="shared" si="79"/>
        <v>3.72872</v>
      </c>
      <c r="BM64" s="2">
        <v>3.3029999999999999</v>
      </c>
      <c r="BN64" s="2">
        <f t="shared" si="80"/>
        <v>3.72872</v>
      </c>
      <c r="BO64" s="2">
        <f>MIN(N64:BN64:BN64)</f>
        <v>2.963848</v>
      </c>
      <c r="BP64" s="2">
        <f t="shared" si="87"/>
        <v>18.716999999999999</v>
      </c>
      <c r="BQ64" s="22"/>
    </row>
    <row r="65" spans="1:69" ht="20.100000000000001" customHeight="1" x14ac:dyDescent="0.2">
      <c r="A65" s="17">
        <f t="shared" si="41"/>
        <v>63</v>
      </c>
      <c r="B65" s="24">
        <v>84550</v>
      </c>
      <c r="C65" s="24">
        <v>3018455000</v>
      </c>
      <c r="D65" s="26" t="s">
        <v>135</v>
      </c>
      <c r="E65" s="18" t="s">
        <v>103</v>
      </c>
      <c r="F65" s="33">
        <v>27.12</v>
      </c>
      <c r="G65" s="24">
        <v>301</v>
      </c>
      <c r="H65" s="12">
        <v>0</v>
      </c>
      <c r="I65" s="24">
        <v>0</v>
      </c>
      <c r="J65" s="2">
        <f t="shared" si="45"/>
        <v>5.9700160000000002</v>
      </c>
      <c r="K65" s="21" t="s">
        <v>104</v>
      </c>
      <c r="L65" s="2">
        <v>4.59232</v>
      </c>
      <c r="M65" s="2">
        <v>4.0152130000000001</v>
      </c>
      <c r="N65" s="1">
        <f>5.41*1.8</f>
        <v>9.7380000000000013</v>
      </c>
      <c r="O65" s="2">
        <f t="shared" si="46"/>
        <v>4.59232</v>
      </c>
      <c r="P65" s="1">
        <f t="shared" si="47"/>
        <v>17.628</v>
      </c>
      <c r="Q65" s="2">
        <f t="shared" si="48"/>
        <v>4.59232</v>
      </c>
      <c r="R65" s="1">
        <f t="shared" si="49"/>
        <v>5.051552</v>
      </c>
      <c r="S65" s="2">
        <f t="shared" si="50"/>
        <v>4.59232</v>
      </c>
      <c r="T65" s="2">
        <v>7.1292479999999996</v>
      </c>
      <c r="U65" s="1"/>
      <c r="V65" s="1">
        <v>15.68</v>
      </c>
      <c r="W65" s="2">
        <f t="shared" si="88"/>
        <v>4.59232</v>
      </c>
      <c r="X65" s="2">
        <f t="shared" si="51"/>
        <v>4.59232</v>
      </c>
      <c r="Y65" s="2">
        <f t="shared" si="52"/>
        <v>4.59232</v>
      </c>
      <c r="Z65" s="2">
        <v>6.62</v>
      </c>
      <c r="AA65" s="2">
        <f t="shared" si="53"/>
        <v>4.3627039999999999</v>
      </c>
      <c r="AB65" s="2">
        <f t="shared" si="54"/>
        <v>4.3627039999999999</v>
      </c>
      <c r="AC65" s="2">
        <f t="shared" si="55"/>
        <v>4.59232</v>
      </c>
      <c r="AD65" s="1">
        <f t="shared" si="56"/>
        <v>4.821936</v>
      </c>
      <c r="AE65" s="2">
        <f t="shared" si="57"/>
        <v>4.59232</v>
      </c>
      <c r="AF65" s="2">
        <f t="shared" si="58"/>
        <v>4.59232</v>
      </c>
      <c r="AG65" s="2">
        <f t="shared" si="59"/>
        <v>4.2249344000000004</v>
      </c>
      <c r="AH65" s="1">
        <f t="shared" si="60"/>
        <v>18.983999999999998</v>
      </c>
      <c r="AI65" s="2">
        <f t="shared" si="89"/>
        <v>4.59232</v>
      </c>
      <c r="AJ65" s="2">
        <f t="shared" si="27"/>
        <v>4.59232</v>
      </c>
      <c r="AK65" s="1">
        <f t="shared" si="61"/>
        <v>6.2455552000000001</v>
      </c>
      <c r="AL65" s="2">
        <f t="shared" si="62"/>
        <v>4.59232</v>
      </c>
      <c r="AM65" s="2">
        <f t="shared" si="63"/>
        <v>4.59232</v>
      </c>
      <c r="AN65" s="1">
        <f t="shared" si="64"/>
        <v>4.59232</v>
      </c>
      <c r="AO65" s="1">
        <f t="shared" si="65"/>
        <v>4.59232</v>
      </c>
      <c r="AP65" s="2">
        <f t="shared" si="66"/>
        <v>4.0152130000000001</v>
      </c>
      <c r="AQ65" s="2">
        <f t="shared" si="90"/>
        <v>4.59232</v>
      </c>
      <c r="AR65" s="1">
        <f t="shared" si="67"/>
        <v>13.56</v>
      </c>
      <c r="AS65" s="2">
        <f t="shared" si="81"/>
        <v>10.0380325</v>
      </c>
      <c r="AT65" s="2">
        <f t="shared" si="68"/>
        <v>4.59232</v>
      </c>
      <c r="AU65" s="2">
        <v>5.726421900000001</v>
      </c>
      <c r="AV65" s="2">
        <f t="shared" si="91"/>
        <v>4.4167343000000008</v>
      </c>
      <c r="AW65" s="2">
        <f t="shared" si="69"/>
        <v>4.59232</v>
      </c>
      <c r="AX65" s="1">
        <f t="shared" si="70"/>
        <v>4.3627039999999999</v>
      </c>
      <c r="AY65" s="2" t="str">
        <f t="shared" si="71"/>
        <v>4.04 Per Unit</v>
      </c>
      <c r="AZ65" s="2">
        <f t="shared" si="72"/>
        <v>4.59232</v>
      </c>
      <c r="BA65" s="2">
        <f t="shared" si="82"/>
        <v>4.59232</v>
      </c>
      <c r="BB65" s="2">
        <f t="shared" si="83"/>
        <v>4.59232</v>
      </c>
      <c r="BC65" s="2">
        <f t="shared" si="84"/>
        <v>4.59232</v>
      </c>
      <c r="BD65" s="2">
        <f t="shared" si="85"/>
        <v>5.051552</v>
      </c>
      <c r="BE65" s="2">
        <f t="shared" si="86"/>
        <v>4.1330879999999999</v>
      </c>
      <c r="BF65" s="2">
        <f t="shared" si="73"/>
        <v>23.052</v>
      </c>
      <c r="BG65" s="2">
        <f t="shared" si="74"/>
        <v>4.59232</v>
      </c>
      <c r="BH65" s="2" t="str">
        <f t="shared" si="75"/>
        <v>4.36 Per Unit</v>
      </c>
      <c r="BI65" s="1">
        <f t="shared" si="76"/>
        <v>5.5107840000000001</v>
      </c>
      <c r="BJ65" s="2">
        <f t="shared" si="77"/>
        <v>4.59232</v>
      </c>
      <c r="BK65" s="2">
        <f t="shared" si="78"/>
        <v>4.3627039999999999</v>
      </c>
      <c r="BL65" s="2">
        <f t="shared" si="79"/>
        <v>4.59232</v>
      </c>
      <c r="BM65" s="2">
        <v>4.0679999999999996</v>
      </c>
      <c r="BN65" s="2">
        <f t="shared" si="80"/>
        <v>4.59232</v>
      </c>
      <c r="BO65" s="2">
        <f>MIN(N65:BN65:BN65)</f>
        <v>4.0152130000000001</v>
      </c>
      <c r="BP65" s="2">
        <f t="shared" si="87"/>
        <v>23.052</v>
      </c>
      <c r="BQ65" s="22"/>
    </row>
    <row r="66" spans="1:69" ht="20.100000000000001" customHeight="1" x14ac:dyDescent="0.2">
      <c r="A66" s="17">
        <f t="shared" si="41"/>
        <v>64</v>
      </c>
      <c r="B66" s="24">
        <v>86141</v>
      </c>
      <c r="C66" s="24">
        <v>3028614100</v>
      </c>
      <c r="D66" s="26" t="s">
        <v>136</v>
      </c>
      <c r="E66" s="18" t="s">
        <v>103</v>
      </c>
      <c r="F66" s="33">
        <v>77.7</v>
      </c>
      <c r="G66" s="24">
        <v>302</v>
      </c>
      <c r="H66" s="12">
        <v>0</v>
      </c>
      <c r="I66" s="24">
        <v>0</v>
      </c>
      <c r="J66" s="2">
        <f t="shared" ref="J66:J97" si="92">L66*1.3</f>
        <v>17.10436</v>
      </c>
      <c r="K66" s="21" t="s">
        <v>104</v>
      </c>
      <c r="L66" s="2">
        <v>13.1572</v>
      </c>
      <c r="M66" s="2">
        <v>11.204547</v>
      </c>
      <c r="N66" s="1">
        <f>15.49*1.8</f>
        <v>27.882000000000001</v>
      </c>
      <c r="O66" s="2">
        <f t="shared" ref="O66:O97" si="93">L66</f>
        <v>13.1572</v>
      </c>
      <c r="P66" s="1">
        <f t="shared" si="47"/>
        <v>50.505000000000003</v>
      </c>
      <c r="Q66" s="2">
        <f t="shared" ref="Q66:Q97" si="94">L66</f>
        <v>13.1572</v>
      </c>
      <c r="R66" s="1">
        <f t="shared" ref="R66:R97" si="95">L66*1.1</f>
        <v>14.47292</v>
      </c>
      <c r="S66" s="2">
        <f t="shared" ref="S66:S97" si="96">L66</f>
        <v>13.1572</v>
      </c>
      <c r="T66" s="2">
        <v>20.390497999999997</v>
      </c>
      <c r="U66" s="1"/>
      <c r="V66" s="1">
        <v>44.94</v>
      </c>
      <c r="W66" s="2">
        <f t="shared" ref="W66:W97" si="97">L66</f>
        <v>13.1572</v>
      </c>
      <c r="X66" s="2">
        <f t="shared" ref="X66:X97" si="98">L66</f>
        <v>13.1572</v>
      </c>
      <c r="Y66" s="2">
        <f t="shared" ref="Y66:Y97" si="99">L66</f>
        <v>13.1572</v>
      </c>
      <c r="Z66" s="2">
        <v>18.95</v>
      </c>
      <c r="AA66" s="2">
        <f t="shared" ref="AA66:AA97" si="100">L66*0.95</f>
        <v>12.499339999999998</v>
      </c>
      <c r="AB66" s="2">
        <f t="shared" ref="AB66:AB97" si="101">L66*0.95</f>
        <v>12.499339999999998</v>
      </c>
      <c r="AC66" s="2">
        <f t="shared" ref="AC66:AC97" si="102">L66</f>
        <v>13.1572</v>
      </c>
      <c r="AD66" s="1">
        <f t="shared" ref="AD66:AD97" si="103">L66*1.05</f>
        <v>13.815060000000001</v>
      </c>
      <c r="AE66" s="2">
        <f t="shared" ref="AE66:AE97" si="104">L66</f>
        <v>13.1572</v>
      </c>
      <c r="AF66" s="2">
        <f t="shared" ref="AF66:AF97" si="105">L66</f>
        <v>13.1572</v>
      </c>
      <c r="AG66" s="2">
        <f t="shared" ref="AG66:AG97" si="106">L66*0.92</f>
        <v>12.104623999999999</v>
      </c>
      <c r="AH66" s="1">
        <f t="shared" si="60"/>
        <v>54.39</v>
      </c>
      <c r="AI66" s="2">
        <f t="shared" si="89"/>
        <v>13.1572</v>
      </c>
      <c r="AJ66" s="2">
        <f t="shared" si="27"/>
        <v>13.1572</v>
      </c>
      <c r="AK66" s="1">
        <f t="shared" ref="AK66:AK97" si="107">L66*1.36</f>
        <v>17.893792000000001</v>
      </c>
      <c r="AL66" s="2">
        <f t="shared" ref="AL66:AL97" si="108">L66</f>
        <v>13.1572</v>
      </c>
      <c r="AM66" s="2">
        <f t="shared" ref="AM66:AM97" si="109">L66</f>
        <v>13.1572</v>
      </c>
      <c r="AN66" s="1">
        <f t="shared" ref="AN66:AN97" si="110">L66</f>
        <v>13.1572</v>
      </c>
      <c r="AO66" s="1">
        <f t="shared" ref="AO66:AO97" si="111">L66</f>
        <v>13.1572</v>
      </c>
      <c r="AP66" s="2">
        <f t="shared" ref="AP66:AP97" si="112">M66</f>
        <v>11.204547</v>
      </c>
      <c r="AQ66" s="2">
        <f t="shared" si="90"/>
        <v>13.1572</v>
      </c>
      <c r="AR66" s="1">
        <f t="shared" si="67"/>
        <v>38.85</v>
      </c>
      <c r="AS66" s="2">
        <f t="shared" si="81"/>
        <v>28.011367499999999</v>
      </c>
      <c r="AT66" s="2">
        <f t="shared" ref="AT66:AT97" si="113">L66</f>
        <v>13.1572</v>
      </c>
      <c r="AU66" s="2">
        <v>16.406452125000001</v>
      </c>
      <c r="AV66" s="2">
        <f t="shared" si="91"/>
        <v>12.325001700000001</v>
      </c>
      <c r="AW66" s="2">
        <f t="shared" ref="AW66:AW97" si="114">L66</f>
        <v>13.1572</v>
      </c>
      <c r="AX66" s="1">
        <f t="shared" si="70"/>
        <v>12.499339999999998</v>
      </c>
      <c r="AY66" s="2" t="str">
        <f t="shared" ref="AY66:AY97" si="115">CONCATENATE(ROUND(L66*0.88,2)," ",K66)</f>
        <v>11.58 Per Unit</v>
      </c>
      <c r="AZ66" s="2">
        <f t="shared" ref="AZ66:AZ97" si="116">L66</f>
        <v>13.1572</v>
      </c>
      <c r="BA66" s="2">
        <f t="shared" si="82"/>
        <v>13.1572</v>
      </c>
      <c r="BB66" s="2">
        <f t="shared" si="83"/>
        <v>13.1572</v>
      </c>
      <c r="BC66" s="2">
        <f t="shared" si="84"/>
        <v>13.1572</v>
      </c>
      <c r="BD66" s="2">
        <f t="shared" si="85"/>
        <v>14.47292</v>
      </c>
      <c r="BE66" s="2">
        <f t="shared" si="86"/>
        <v>11.841480000000001</v>
      </c>
      <c r="BF66" s="2">
        <f t="shared" si="73"/>
        <v>66.045000000000002</v>
      </c>
      <c r="BG66" s="2">
        <f t="shared" ref="BG66:BG97" si="117">L66</f>
        <v>13.1572</v>
      </c>
      <c r="BH66" s="2" t="str">
        <f t="shared" ref="BH66:BH97" si="118">CONCATENATE(ROUND(L66*0.95,2)," ",K66)</f>
        <v>12.5 Per Unit</v>
      </c>
      <c r="BI66" s="1">
        <f t="shared" si="76"/>
        <v>15.788639999999999</v>
      </c>
      <c r="BJ66" s="2">
        <f t="shared" si="77"/>
        <v>13.1572</v>
      </c>
      <c r="BK66" s="2">
        <f t="shared" ref="BK66:BK97" si="119">L66*0.95</f>
        <v>12.499339999999998</v>
      </c>
      <c r="BL66" s="2">
        <f t="shared" ref="BL66:BL97" si="120">L66</f>
        <v>13.1572</v>
      </c>
      <c r="BM66" s="2">
        <v>11.654999999999999</v>
      </c>
      <c r="BN66" s="2">
        <f t="shared" ref="BN66:BN97" si="121">L66</f>
        <v>13.1572</v>
      </c>
      <c r="BO66" s="2">
        <f>MIN(N66:BN66:BN66)</f>
        <v>11.204547</v>
      </c>
      <c r="BP66" s="2">
        <f t="shared" si="87"/>
        <v>66.045000000000002</v>
      </c>
      <c r="BQ66" s="22"/>
    </row>
    <row r="67" spans="1:69" ht="20.100000000000001" customHeight="1" x14ac:dyDescent="0.2">
      <c r="A67" s="17">
        <f t="shared" si="41"/>
        <v>65</v>
      </c>
      <c r="B67" s="24">
        <v>87186</v>
      </c>
      <c r="C67" s="24">
        <v>3068718600</v>
      </c>
      <c r="D67" s="19" t="s">
        <v>137</v>
      </c>
      <c r="E67" s="18" t="s">
        <v>103</v>
      </c>
      <c r="F67" s="33">
        <v>51.9</v>
      </c>
      <c r="G67" s="24">
        <v>306</v>
      </c>
      <c r="H67" s="12">
        <v>0</v>
      </c>
      <c r="I67" s="24">
        <v>0</v>
      </c>
      <c r="J67" s="2">
        <f t="shared" si="92"/>
        <v>11.424920000000002</v>
      </c>
      <c r="K67" s="21" t="s">
        <v>104</v>
      </c>
      <c r="L67" s="2">
        <v>8.7884000000000011</v>
      </c>
      <c r="M67" s="2">
        <v>7.5798410000000009</v>
      </c>
      <c r="N67" s="11">
        <f>10.34*1.8</f>
        <v>18.612000000000002</v>
      </c>
      <c r="O67" s="2">
        <f t="shared" si="93"/>
        <v>8.7884000000000011</v>
      </c>
      <c r="P67" s="1">
        <f t="shared" si="47"/>
        <v>33.734999999999999</v>
      </c>
      <c r="Q67" s="2">
        <f t="shared" si="94"/>
        <v>8.7884000000000011</v>
      </c>
      <c r="R67" s="1">
        <f t="shared" si="95"/>
        <v>9.6672400000000014</v>
      </c>
      <c r="S67" s="2">
        <f t="shared" si="96"/>
        <v>8.7884000000000011</v>
      </c>
      <c r="T67" s="2">
        <v>13.621956000000001</v>
      </c>
      <c r="U67" s="1"/>
      <c r="V67" s="1">
        <v>30.02</v>
      </c>
      <c r="W67" s="2">
        <f t="shared" si="97"/>
        <v>8.7884000000000011</v>
      </c>
      <c r="X67" s="2">
        <f t="shared" si="98"/>
        <v>8.7884000000000011</v>
      </c>
      <c r="Y67" s="2">
        <f t="shared" si="99"/>
        <v>8.7884000000000011</v>
      </c>
      <c r="Z67" s="2">
        <v>12.65</v>
      </c>
      <c r="AA67" s="2">
        <f t="shared" si="100"/>
        <v>8.348980000000001</v>
      </c>
      <c r="AB67" s="2">
        <f t="shared" si="101"/>
        <v>8.348980000000001</v>
      </c>
      <c r="AC67" s="2">
        <f t="shared" si="102"/>
        <v>8.7884000000000011</v>
      </c>
      <c r="AD67" s="1">
        <f t="shared" si="103"/>
        <v>9.2278200000000012</v>
      </c>
      <c r="AE67" s="2">
        <f t="shared" si="104"/>
        <v>8.7884000000000011</v>
      </c>
      <c r="AF67" s="2">
        <f t="shared" si="105"/>
        <v>8.7884000000000011</v>
      </c>
      <c r="AG67" s="2">
        <f t="shared" si="106"/>
        <v>8.0853280000000005</v>
      </c>
      <c r="AH67" s="1">
        <f t="shared" si="60"/>
        <v>36.33</v>
      </c>
      <c r="AI67" s="2">
        <f t="shared" si="89"/>
        <v>8.7884000000000011</v>
      </c>
      <c r="AJ67" s="2">
        <f t="shared" si="27"/>
        <v>8.7884000000000011</v>
      </c>
      <c r="AK67" s="1">
        <f t="shared" si="107"/>
        <v>11.952224000000003</v>
      </c>
      <c r="AL67" s="2">
        <f t="shared" si="108"/>
        <v>8.7884000000000011</v>
      </c>
      <c r="AM67" s="2">
        <f t="shared" si="109"/>
        <v>8.7884000000000011</v>
      </c>
      <c r="AN67" s="1">
        <f t="shared" si="110"/>
        <v>8.7884000000000011</v>
      </c>
      <c r="AO67" s="1">
        <f t="shared" si="111"/>
        <v>8.7884000000000011</v>
      </c>
      <c r="AP67" s="2">
        <f t="shared" si="112"/>
        <v>7.5798410000000009</v>
      </c>
      <c r="AQ67" s="2">
        <f t="shared" si="90"/>
        <v>8.7884000000000011</v>
      </c>
      <c r="AR67" s="1">
        <f t="shared" si="67"/>
        <v>25.95</v>
      </c>
      <c r="AS67" s="2">
        <f t="shared" si="81"/>
        <v>18.949602500000001</v>
      </c>
      <c r="AT67" s="2">
        <f t="shared" si="113"/>
        <v>8.7884000000000011</v>
      </c>
      <c r="AU67" s="2">
        <v>10.958749875000002</v>
      </c>
      <c r="AV67" s="2">
        <f t="shared" si="91"/>
        <v>8.3378251000000017</v>
      </c>
      <c r="AW67" s="2">
        <f t="shared" si="114"/>
        <v>8.7884000000000011</v>
      </c>
      <c r="AX67" s="1">
        <f t="shared" si="70"/>
        <v>8.348980000000001</v>
      </c>
      <c r="AY67" s="2" t="str">
        <f t="shared" si="115"/>
        <v>7.73 Per Unit</v>
      </c>
      <c r="AZ67" s="2">
        <f t="shared" si="116"/>
        <v>8.7884000000000011</v>
      </c>
      <c r="BA67" s="2">
        <f t="shared" si="82"/>
        <v>8.7884000000000011</v>
      </c>
      <c r="BB67" s="2">
        <f t="shared" si="83"/>
        <v>8.7884000000000011</v>
      </c>
      <c r="BC67" s="2">
        <f t="shared" si="84"/>
        <v>8.7884000000000011</v>
      </c>
      <c r="BD67" s="2">
        <f t="shared" si="85"/>
        <v>9.6672400000000014</v>
      </c>
      <c r="BE67" s="2">
        <f t="shared" si="86"/>
        <v>7.9095600000000008</v>
      </c>
      <c r="BF67" s="2">
        <f t="shared" si="73"/>
        <v>44.114999999999995</v>
      </c>
      <c r="BG67" s="2">
        <f t="shared" si="117"/>
        <v>8.7884000000000011</v>
      </c>
      <c r="BH67" s="2" t="str">
        <f t="shared" si="118"/>
        <v>8.35 Per Unit</v>
      </c>
      <c r="BI67" s="1">
        <f t="shared" si="76"/>
        <v>10.546080000000002</v>
      </c>
      <c r="BJ67" s="2">
        <f t="shared" si="77"/>
        <v>8.7884000000000011</v>
      </c>
      <c r="BK67" s="2">
        <f t="shared" si="119"/>
        <v>8.348980000000001</v>
      </c>
      <c r="BL67" s="2">
        <f t="shared" si="120"/>
        <v>8.7884000000000011</v>
      </c>
      <c r="BM67" s="2">
        <v>7.7850000000000001</v>
      </c>
      <c r="BN67" s="2">
        <f t="shared" si="121"/>
        <v>8.7884000000000011</v>
      </c>
      <c r="BO67" s="2">
        <f>MIN(N67:BN67:BN67)</f>
        <v>7.5798410000000009</v>
      </c>
      <c r="BP67" s="2">
        <f t="shared" ref="BP67:BP98" si="122">MAX(N67:BN67)</f>
        <v>44.114999999999995</v>
      </c>
      <c r="BQ67" s="22"/>
    </row>
    <row r="68" spans="1:69" ht="20.100000000000001" customHeight="1" x14ac:dyDescent="0.2">
      <c r="A68" s="17">
        <f t="shared" si="41"/>
        <v>66</v>
      </c>
      <c r="B68" s="24">
        <v>82043</v>
      </c>
      <c r="C68" s="24">
        <v>3018204300</v>
      </c>
      <c r="D68" s="26" t="s">
        <v>138</v>
      </c>
      <c r="E68" s="18" t="s">
        <v>103</v>
      </c>
      <c r="F68" s="33">
        <v>34.68</v>
      </c>
      <c r="G68" s="24">
        <v>301</v>
      </c>
      <c r="H68" s="12">
        <v>0</v>
      </c>
      <c r="I68" s="24">
        <v>0</v>
      </c>
      <c r="J68" s="2">
        <f t="shared" si="92"/>
        <v>7.6342240000000006</v>
      </c>
      <c r="K68" s="21" t="s">
        <v>104</v>
      </c>
      <c r="L68" s="2">
        <v>5.8724800000000004</v>
      </c>
      <c r="M68" s="2">
        <v>5.0866040000000003</v>
      </c>
      <c r="N68" s="1">
        <f>6.92*1.8</f>
        <v>12.456</v>
      </c>
      <c r="O68" s="2">
        <f t="shared" si="93"/>
        <v>5.8724800000000004</v>
      </c>
      <c r="P68" s="1">
        <f t="shared" si="47"/>
        <v>22.542000000000002</v>
      </c>
      <c r="Q68" s="2">
        <f t="shared" si="94"/>
        <v>5.8724800000000004</v>
      </c>
      <c r="R68" s="1">
        <f t="shared" si="95"/>
        <v>6.459728000000001</v>
      </c>
      <c r="S68" s="2">
        <f t="shared" si="96"/>
        <v>5.8724800000000004</v>
      </c>
      <c r="T68" s="2">
        <v>9.1237400000000015</v>
      </c>
      <c r="U68" s="1"/>
      <c r="V68" s="1">
        <v>20.059999999999999</v>
      </c>
      <c r="W68" s="2">
        <f t="shared" si="97"/>
        <v>5.8724800000000004</v>
      </c>
      <c r="X68" s="2">
        <f t="shared" si="98"/>
        <v>5.8724800000000004</v>
      </c>
      <c r="Y68" s="2">
        <f t="shared" si="99"/>
        <v>5.8724800000000004</v>
      </c>
      <c r="Z68" s="2">
        <v>8.4600000000000009</v>
      </c>
      <c r="AA68" s="2">
        <f t="shared" si="100"/>
        <v>5.578856</v>
      </c>
      <c r="AB68" s="2">
        <f t="shared" si="101"/>
        <v>5.578856</v>
      </c>
      <c r="AC68" s="2">
        <f t="shared" si="102"/>
        <v>5.8724800000000004</v>
      </c>
      <c r="AD68" s="1">
        <f t="shared" si="103"/>
        <v>6.1661040000000007</v>
      </c>
      <c r="AE68" s="2">
        <f t="shared" si="104"/>
        <v>5.8724800000000004</v>
      </c>
      <c r="AF68" s="2">
        <f t="shared" si="105"/>
        <v>5.8724800000000004</v>
      </c>
      <c r="AG68" s="2">
        <f t="shared" si="106"/>
        <v>5.4026816000000002</v>
      </c>
      <c r="AH68" s="1">
        <f t="shared" si="60"/>
        <v>24.276</v>
      </c>
      <c r="AI68" s="2">
        <f t="shared" si="89"/>
        <v>5.8724800000000004</v>
      </c>
      <c r="AJ68" s="2">
        <f t="shared" ref="AJ68:AJ113" si="123">L68</f>
        <v>5.8724800000000004</v>
      </c>
      <c r="AK68" s="1">
        <f t="shared" si="107"/>
        <v>7.9865728000000011</v>
      </c>
      <c r="AL68" s="2">
        <f t="shared" si="108"/>
        <v>5.8724800000000004</v>
      </c>
      <c r="AM68" s="2">
        <f t="shared" si="109"/>
        <v>5.8724800000000004</v>
      </c>
      <c r="AN68" s="1">
        <f t="shared" si="110"/>
        <v>5.8724800000000004</v>
      </c>
      <c r="AO68" s="1">
        <f t="shared" si="111"/>
        <v>5.8724800000000004</v>
      </c>
      <c r="AP68" s="2">
        <f t="shared" si="112"/>
        <v>5.0866040000000003</v>
      </c>
      <c r="AQ68" s="2">
        <f t="shared" ref="AQ68:AQ99" si="124">L68</f>
        <v>5.8724800000000004</v>
      </c>
      <c r="AR68" s="1">
        <f t="shared" si="67"/>
        <v>17.34</v>
      </c>
      <c r="AS68" s="2">
        <f t="shared" si="81"/>
        <v>12.716510000000001</v>
      </c>
      <c r="AT68" s="2">
        <f t="shared" si="113"/>
        <v>5.8724800000000004</v>
      </c>
      <c r="AU68" s="2">
        <v>7.3227253500000016</v>
      </c>
      <c r="AV68" s="2">
        <f t="shared" si="91"/>
        <v>5.5952644000000005</v>
      </c>
      <c r="AW68" s="2">
        <f t="shared" si="114"/>
        <v>5.8724800000000004</v>
      </c>
      <c r="AX68" s="1">
        <f t="shared" si="70"/>
        <v>5.578856</v>
      </c>
      <c r="AY68" s="2" t="str">
        <f t="shared" si="115"/>
        <v>5.17 Per Unit</v>
      </c>
      <c r="AZ68" s="2">
        <f t="shared" si="116"/>
        <v>5.8724800000000004</v>
      </c>
      <c r="BA68" s="2">
        <f t="shared" si="82"/>
        <v>5.8724800000000004</v>
      </c>
      <c r="BB68" s="2">
        <f t="shared" si="83"/>
        <v>5.8724800000000004</v>
      </c>
      <c r="BC68" s="2">
        <f t="shared" si="84"/>
        <v>5.8724800000000004</v>
      </c>
      <c r="BD68" s="2">
        <f t="shared" si="85"/>
        <v>6.459728000000001</v>
      </c>
      <c r="BE68" s="2">
        <f t="shared" si="86"/>
        <v>5.2852320000000006</v>
      </c>
      <c r="BF68" s="2">
        <f t="shared" si="73"/>
        <v>29.477999999999998</v>
      </c>
      <c r="BG68" s="2">
        <f t="shared" si="117"/>
        <v>5.8724800000000004</v>
      </c>
      <c r="BH68" s="2" t="str">
        <f t="shared" si="118"/>
        <v>5.58 Per Unit</v>
      </c>
      <c r="BI68" s="1">
        <f t="shared" ref="BI68:BI99" si="125">L68*1.2</f>
        <v>7.0469759999999999</v>
      </c>
      <c r="BJ68" s="2">
        <f t="shared" ref="BJ68:BJ99" si="126">L68</f>
        <v>5.8724800000000004</v>
      </c>
      <c r="BK68" s="2">
        <f t="shared" si="119"/>
        <v>5.578856</v>
      </c>
      <c r="BL68" s="2">
        <f t="shared" si="120"/>
        <v>5.8724800000000004</v>
      </c>
      <c r="BM68" s="2">
        <v>5.202</v>
      </c>
      <c r="BN68" s="2">
        <f t="shared" si="121"/>
        <v>5.8724800000000004</v>
      </c>
      <c r="BO68" s="2">
        <f>MIN(N68:BN68:BN68)</f>
        <v>5.0866040000000003</v>
      </c>
      <c r="BP68" s="2">
        <f t="shared" si="122"/>
        <v>29.477999999999998</v>
      </c>
      <c r="BQ68" s="22"/>
    </row>
    <row r="69" spans="1:69" ht="20.100000000000001" customHeight="1" x14ac:dyDescent="0.2">
      <c r="A69" s="17">
        <f t="shared" si="41"/>
        <v>67</v>
      </c>
      <c r="B69" s="24">
        <v>84481</v>
      </c>
      <c r="C69" s="24">
        <v>3018448100</v>
      </c>
      <c r="D69" s="26" t="s">
        <v>139</v>
      </c>
      <c r="E69" s="18" t="s">
        <v>103</v>
      </c>
      <c r="F69" s="33">
        <v>101.64</v>
      </c>
      <c r="G69" s="24">
        <v>301</v>
      </c>
      <c r="H69" s="12">
        <v>0</v>
      </c>
      <c r="I69" s="24">
        <v>0</v>
      </c>
      <c r="J69" s="2">
        <f t="shared" si="92"/>
        <v>22.374352000000002</v>
      </c>
      <c r="K69" s="21" t="s">
        <v>104</v>
      </c>
      <c r="L69" s="2">
        <v>17.211040000000001</v>
      </c>
      <c r="M69" s="2">
        <v>14.989461000000002</v>
      </c>
      <c r="N69" s="1">
        <f>20.26*1.8</f>
        <v>36.468000000000004</v>
      </c>
      <c r="O69" s="2">
        <f t="shared" si="93"/>
        <v>17.211040000000001</v>
      </c>
      <c r="P69" s="1">
        <f t="shared" si="47"/>
        <v>66.066000000000003</v>
      </c>
      <c r="Q69" s="2">
        <f t="shared" si="94"/>
        <v>17.211040000000001</v>
      </c>
      <c r="R69" s="1">
        <f t="shared" si="95"/>
        <v>18.932144000000001</v>
      </c>
      <c r="S69" s="2">
        <f t="shared" si="96"/>
        <v>17.211040000000001</v>
      </c>
      <c r="T69" s="2">
        <v>26.702853000000005</v>
      </c>
      <c r="U69" s="1"/>
      <c r="V69" s="1">
        <v>58.78</v>
      </c>
      <c r="W69" s="2">
        <f t="shared" si="97"/>
        <v>17.211040000000001</v>
      </c>
      <c r="X69" s="2">
        <f t="shared" si="98"/>
        <v>17.211040000000001</v>
      </c>
      <c r="Y69" s="2">
        <f t="shared" si="99"/>
        <v>17.211040000000001</v>
      </c>
      <c r="Z69" s="2">
        <v>24.78</v>
      </c>
      <c r="AA69" s="2">
        <f t="shared" si="100"/>
        <v>16.350487999999999</v>
      </c>
      <c r="AB69" s="2">
        <f t="shared" si="101"/>
        <v>16.350487999999999</v>
      </c>
      <c r="AC69" s="2">
        <f t="shared" si="102"/>
        <v>17.211040000000001</v>
      </c>
      <c r="AD69" s="1">
        <f t="shared" si="103"/>
        <v>18.071592000000003</v>
      </c>
      <c r="AE69" s="2">
        <f t="shared" si="104"/>
        <v>17.211040000000001</v>
      </c>
      <c r="AF69" s="2">
        <f t="shared" si="105"/>
        <v>17.211040000000001</v>
      </c>
      <c r="AG69" s="2">
        <f t="shared" si="106"/>
        <v>15.834156800000001</v>
      </c>
      <c r="AH69" s="1">
        <f t="shared" si="60"/>
        <v>71.147999999999996</v>
      </c>
      <c r="AI69" s="2">
        <f t="shared" si="89"/>
        <v>17.211040000000001</v>
      </c>
      <c r="AJ69" s="2">
        <f t="shared" si="123"/>
        <v>17.211040000000001</v>
      </c>
      <c r="AK69" s="1">
        <f t="shared" si="107"/>
        <v>23.407014400000001</v>
      </c>
      <c r="AL69" s="2">
        <f t="shared" si="108"/>
        <v>17.211040000000001</v>
      </c>
      <c r="AM69" s="2">
        <f t="shared" si="109"/>
        <v>17.211040000000001</v>
      </c>
      <c r="AN69" s="1">
        <f t="shared" si="110"/>
        <v>17.211040000000001</v>
      </c>
      <c r="AO69" s="1">
        <f t="shared" si="111"/>
        <v>17.211040000000001</v>
      </c>
      <c r="AP69" s="2">
        <f t="shared" si="112"/>
        <v>14.989461000000002</v>
      </c>
      <c r="AQ69" s="2">
        <f t="shared" si="124"/>
        <v>17.211040000000001</v>
      </c>
      <c r="AR69" s="1">
        <f t="shared" si="67"/>
        <v>50.82</v>
      </c>
      <c r="AS69" s="2">
        <f t="shared" si="81"/>
        <v>37.473652500000007</v>
      </c>
      <c r="AT69" s="2">
        <f t="shared" si="113"/>
        <v>17.211040000000001</v>
      </c>
      <c r="AU69" s="2">
        <v>21.461413050000004</v>
      </c>
      <c r="AV69" s="2">
        <f t="shared" si="91"/>
        <v>16.488407100000003</v>
      </c>
      <c r="AW69" s="2">
        <f t="shared" si="114"/>
        <v>17.211040000000001</v>
      </c>
      <c r="AX69" s="1">
        <f t="shared" si="70"/>
        <v>16.350487999999999</v>
      </c>
      <c r="AY69" s="2" t="str">
        <f t="shared" si="115"/>
        <v>15.15 Per Unit</v>
      </c>
      <c r="AZ69" s="2">
        <f t="shared" si="116"/>
        <v>17.211040000000001</v>
      </c>
      <c r="BA69" s="2">
        <f t="shared" si="82"/>
        <v>17.211040000000001</v>
      </c>
      <c r="BB69" s="2">
        <f t="shared" si="83"/>
        <v>17.211040000000001</v>
      </c>
      <c r="BC69" s="2">
        <f t="shared" si="84"/>
        <v>17.211040000000001</v>
      </c>
      <c r="BD69" s="2">
        <f t="shared" si="85"/>
        <v>18.932144000000001</v>
      </c>
      <c r="BE69" s="2">
        <f t="shared" si="86"/>
        <v>15.489936</v>
      </c>
      <c r="BF69" s="2">
        <f t="shared" si="73"/>
        <v>86.393999999999991</v>
      </c>
      <c r="BG69" s="2">
        <f t="shared" si="117"/>
        <v>17.211040000000001</v>
      </c>
      <c r="BH69" s="2" t="str">
        <f t="shared" si="118"/>
        <v>16.35 Per Unit</v>
      </c>
      <c r="BI69" s="1">
        <f t="shared" si="125"/>
        <v>20.653248000000001</v>
      </c>
      <c r="BJ69" s="2">
        <f t="shared" si="126"/>
        <v>17.211040000000001</v>
      </c>
      <c r="BK69" s="2">
        <f t="shared" si="119"/>
        <v>16.350487999999999</v>
      </c>
      <c r="BL69" s="2">
        <f t="shared" si="120"/>
        <v>17.211040000000001</v>
      </c>
      <c r="BM69" s="2">
        <v>15.246000000000002</v>
      </c>
      <c r="BN69" s="2">
        <f t="shared" si="121"/>
        <v>17.211040000000001</v>
      </c>
      <c r="BO69" s="2">
        <f>MIN(N69:BN69:BN69)</f>
        <v>14.989461000000002</v>
      </c>
      <c r="BP69" s="2">
        <f t="shared" si="122"/>
        <v>86.393999999999991</v>
      </c>
      <c r="BQ69" s="22"/>
    </row>
    <row r="70" spans="1:69" ht="20.100000000000001" customHeight="1" x14ac:dyDescent="0.2">
      <c r="A70" s="17">
        <f t="shared" si="41"/>
        <v>68</v>
      </c>
      <c r="B70" s="24">
        <v>80164</v>
      </c>
      <c r="C70" s="24">
        <v>3018016400</v>
      </c>
      <c r="D70" s="26" t="s">
        <v>140</v>
      </c>
      <c r="E70" s="18" t="s">
        <v>103</v>
      </c>
      <c r="F70" s="33">
        <v>81.239999999999995</v>
      </c>
      <c r="G70" s="24">
        <v>301</v>
      </c>
      <c r="H70" s="12">
        <v>0</v>
      </c>
      <c r="I70" s="24">
        <v>0</v>
      </c>
      <c r="J70" s="2">
        <f t="shared" si="92"/>
        <v>17.883631999999999</v>
      </c>
      <c r="K70" s="21" t="s">
        <v>104</v>
      </c>
      <c r="L70" s="1">
        <v>13.756639999999999</v>
      </c>
      <c r="M70" s="2">
        <v>12.055652</v>
      </c>
      <c r="N70" s="1">
        <f>16.2*1.8</f>
        <v>29.16</v>
      </c>
      <c r="O70" s="2">
        <f t="shared" si="93"/>
        <v>13.756639999999999</v>
      </c>
      <c r="P70" s="1">
        <f t="shared" si="47"/>
        <v>52.805999999999997</v>
      </c>
      <c r="Q70" s="2">
        <f t="shared" si="94"/>
        <v>13.756639999999999</v>
      </c>
      <c r="R70" s="1">
        <f t="shared" si="95"/>
        <v>15.132304</v>
      </c>
      <c r="S70" s="2">
        <f t="shared" si="96"/>
        <v>13.756639999999999</v>
      </c>
      <c r="T70" s="2">
        <v>21.345308000000003</v>
      </c>
      <c r="U70" s="1"/>
      <c r="V70" s="1">
        <f>18.9300003051757*3.14</f>
        <v>59.440200958251701</v>
      </c>
      <c r="W70" s="2">
        <f t="shared" si="97"/>
        <v>13.756639999999999</v>
      </c>
      <c r="X70" s="2">
        <f t="shared" si="98"/>
        <v>13.756639999999999</v>
      </c>
      <c r="Y70" s="2">
        <f t="shared" si="99"/>
        <v>13.756639999999999</v>
      </c>
      <c r="Z70" s="2">
        <v>19.8</v>
      </c>
      <c r="AA70" s="2">
        <f t="shared" si="100"/>
        <v>13.068807999999999</v>
      </c>
      <c r="AB70" s="2">
        <f t="shared" si="101"/>
        <v>13.068807999999999</v>
      </c>
      <c r="AC70" s="2">
        <f t="shared" si="102"/>
        <v>13.756639999999999</v>
      </c>
      <c r="AD70" s="1">
        <f t="shared" si="103"/>
        <v>14.444471999999999</v>
      </c>
      <c r="AE70" s="2">
        <f t="shared" si="104"/>
        <v>13.756639999999999</v>
      </c>
      <c r="AF70" s="2">
        <f t="shared" si="105"/>
        <v>13.756639999999999</v>
      </c>
      <c r="AG70" s="2">
        <f t="shared" si="106"/>
        <v>12.6561088</v>
      </c>
      <c r="AH70" s="1">
        <f t="shared" si="60"/>
        <v>56.867999999999995</v>
      </c>
      <c r="AI70" s="2">
        <f t="shared" si="89"/>
        <v>13.756639999999999</v>
      </c>
      <c r="AJ70" s="2">
        <f t="shared" si="123"/>
        <v>13.756639999999999</v>
      </c>
      <c r="AK70" s="1">
        <f t="shared" si="107"/>
        <v>18.7090304</v>
      </c>
      <c r="AL70" s="2">
        <f t="shared" si="108"/>
        <v>13.756639999999999</v>
      </c>
      <c r="AM70" s="2">
        <f t="shared" si="109"/>
        <v>13.756639999999999</v>
      </c>
      <c r="AN70" s="1">
        <f t="shared" si="110"/>
        <v>13.756639999999999</v>
      </c>
      <c r="AO70" s="1">
        <f t="shared" si="111"/>
        <v>13.756639999999999</v>
      </c>
      <c r="AP70" s="2">
        <f t="shared" si="112"/>
        <v>12.055652</v>
      </c>
      <c r="AQ70" s="2">
        <f t="shared" si="124"/>
        <v>13.756639999999999</v>
      </c>
      <c r="AR70" s="1">
        <f t="shared" si="67"/>
        <v>40.619999999999997</v>
      </c>
      <c r="AS70" s="2">
        <f t="shared" si="81"/>
        <v>30.139130000000002</v>
      </c>
      <c r="AT70" s="2">
        <f t="shared" si="113"/>
        <v>13.756639999999999</v>
      </c>
      <c r="AU70" s="2">
        <v>17.153927550000006</v>
      </c>
      <c r="AV70" s="2">
        <f t="shared" ref="AV70:AV101" si="127">M70*1.1</f>
        <v>13.261217200000001</v>
      </c>
      <c r="AW70" s="2">
        <f t="shared" si="114"/>
        <v>13.756639999999999</v>
      </c>
      <c r="AX70" s="1">
        <f t="shared" si="70"/>
        <v>13.068807999999999</v>
      </c>
      <c r="AY70" s="2" t="str">
        <f t="shared" si="115"/>
        <v>12.11 Per Unit</v>
      </c>
      <c r="AZ70" s="2">
        <f t="shared" si="116"/>
        <v>13.756639999999999</v>
      </c>
      <c r="BA70" s="2">
        <f t="shared" si="82"/>
        <v>13.756639999999999</v>
      </c>
      <c r="BB70" s="2">
        <f t="shared" si="83"/>
        <v>13.756639999999999</v>
      </c>
      <c r="BC70" s="2">
        <f t="shared" si="84"/>
        <v>13.756639999999999</v>
      </c>
      <c r="BD70" s="2">
        <f t="shared" si="85"/>
        <v>15.132304</v>
      </c>
      <c r="BE70" s="2">
        <f t="shared" si="86"/>
        <v>12.380975999999999</v>
      </c>
      <c r="BF70" s="2">
        <f t="shared" si="73"/>
        <v>69.053999999999988</v>
      </c>
      <c r="BG70" s="2">
        <f t="shared" si="117"/>
        <v>13.756639999999999</v>
      </c>
      <c r="BH70" s="2" t="str">
        <f t="shared" si="118"/>
        <v>13.07 Per Unit</v>
      </c>
      <c r="BI70" s="1">
        <f t="shared" si="125"/>
        <v>16.507967999999998</v>
      </c>
      <c r="BJ70" s="2">
        <f t="shared" si="126"/>
        <v>13.756639999999999</v>
      </c>
      <c r="BK70" s="2">
        <f t="shared" si="119"/>
        <v>13.068807999999999</v>
      </c>
      <c r="BL70" s="2">
        <f t="shared" si="120"/>
        <v>13.756639999999999</v>
      </c>
      <c r="BM70" s="2">
        <v>12.186</v>
      </c>
      <c r="BN70" s="2">
        <f t="shared" si="121"/>
        <v>13.756639999999999</v>
      </c>
      <c r="BO70" s="2">
        <f>MIN(N70:BN70:BN70)</f>
        <v>12.055652</v>
      </c>
      <c r="BP70" s="2">
        <f t="shared" si="122"/>
        <v>69.053999999999988</v>
      </c>
      <c r="BQ70" s="22"/>
    </row>
    <row r="71" spans="1:69" ht="20.100000000000001" customHeight="1" x14ac:dyDescent="0.2">
      <c r="A71" s="17">
        <f t="shared" si="41"/>
        <v>69</v>
      </c>
      <c r="B71" s="24">
        <v>82040</v>
      </c>
      <c r="C71" s="24">
        <v>3018204000</v>
      </c>
      <c r="D71" s="19" t="s">
        <v>141</v>
      </c>
      <c r="E71" s="18" t="s">
        <v>103</v>
      </c>
      <c r="F71" s="33">
        <v>29.7</v>
      </c>
      <c r="G71" s="24">
        <v>301</v>
      </c>
      <c r="H71" s="12">
        <v>0</v>
      </c>
      <c r="I71" s="24">
        <v>0</v>
      </c>
      <c r="J71" s="2">
        <f t="shared" si="92"/>
        <v>6.5379600000000009</v>
      </c>
      <c r="K71" s="21" t="s">
        <v>104</v>
      </c>
      <c r="L71" s="1">
        <v>5.0292000000000003</v>
      </c>
      <c r="M71" s="2">
        <v>4.025226</v>
      </c>
      <c r="N71" s="1">
        <f>5.92*1.8</f>
        <v>10.656000000000001</v>
      </c>
      <c r="O71" s="2">
        <f t="shared" si="93"/>
        <v>5.0292000000000003</v>
      </c>
      <c r="P71" s="1">
        <f t="shared" si="47"/>
        <v>19.305</v>
      </c>
      <c r="Q71" s="2">
        <f t="shared" si="94"/>
        <v>5.0292000000000003</v>
      </c>
      <c r="R71" s="1">
        <f t="shared" si="95"/>
        <v>5.5321200000000008</v>
      </c>
      <c r="S71" s="2">
        <f t="shared" si="96"/>
        <v>5.0292000000000003</v>
      </c>
      <c r="T71" s="2">
        <v>7.8082240000000009</v>
      </c>
      <c r="U71" s="1"/>
      <c r="V71" s="1">
        <v>17.18</v>
      </c>
      <c r="W71" s="2">
        <f t="shared" si="97"/>
        <v>5.0292000000000003</v>
      </c>
      <c r="X71" s="2">
        <f t="shared" si="98"/>
        <v>5.0292000000000003</v>
      </c>
      <c r="Y71" s="2">
        <f t="shared" si="99"/>
        <v>5.0292000000000003</v>
      </c>
      <c r="Z71" s="2">
        <v>7.25</v>
      </c>
      <c r="AA71" s="2">
        <f t="shared" si="100"/>
        <v>4.7777399999999997</v>
      </c>
      <c r="AB71" s="2">
        <f t="shared" si="101"/>
        <v>4.7777399999999997</v>
      </c>
      <c r="AC71" s="2">
        <f t="shared" si="102"/>
        <v>5.0292000000000003</v>
      </c>
      <c r="AD71" s="1">
        <f t="shared" si="103"/>
        <v>5.280660000000001</v>
      </c>
      <c r="AE71" s="2">
        <f t="shared" si="104"/>
        <v>5.0292000000000003</v>
      </c>
      <c r="AF71" s="2">
        <f t="shared" si="105"/>
        <v>5.0292000000000003</v>
      </c>
      <c r="AG71" s="2">
        <f t="shared" si="106"/>
        <v>4.6268640000000003</v>
      </c>
      <c r="AH71" s="1">
        <f t="shared" si="60"/>
        <v>20.79</v>
      </c>
      <c r="AI71" s="2">
        <f t="shared" si="89"/>
        <v>5.0292000000000003</v>
      </c>
      <c r="AJ71" s="2">
        <f t="shared" si="123"/>
        <v>5.0292000000000003</v>
      </c>
      <c r="AK71" s="1">
        <f t="shared" si="107"/>
        <v>6.8397120000000013</v>
      </c>
      <c r="AL71" s="2">
        <f t="shared" si="108"/>
        <v>5.0292000000000003</v>
      </c>
      <c r="AM71" s="2">
        <f t="shared" si="109"/>
        <v>5.0292000000000003</v>
      </c>
      <c r="AN71" s="1">
        <f t="shared" si="110"/>
        <v>5.0292000000000003</v>
      </c>
      <c r="AO71" s="1">
        <f t="shared" si="111"/>
        <v>5.0292000000000003</v>
      </c>
      <c r="AP71" s="2">
        <f t="shared" si="112"/>
        <v>4.025226</v>
      </c>
      <c r="AQ71" s="2">
        <f t="shared" si="124"/>
        <v>5.0292000000000003</v>
      </c>
      <c r="AR71" s="1">
        <f t="shared" si="67"/>
        <v>14.85</v>
      </c>
      <c r="AS71" s="2">
        <f t="shared" si="81"/>
        <v>10.063065</v>
      </c>
      <c r="AT71" s="2">
        <f t="shared" si="113"/>
        <v>5.0292000000000003</v>
      </c>
      <c r="AU71" s="2">
        <v>6.2711921250000016</v>
      </c>
      <c r="AV71" s="2">
        <f t="shared" si="127"/>
        <v>4.4277486000000001</v>
      </c>
      <c r="AW71" s="2">
        <f t="shared" si="114"/>
        <v>5.0292000000000003</v>
      </c>
      <c r="AX71" s="1">
        <f t="shared" si="70"/>
        <v>4.7777399999999997</v>
      </c>
      <c r="AY71" s="2" t="str">
        <f t="shared" si="115"/>
        <v>4.43 Per Unit</v>
      </c>
      <c r="AZ71" s="2">
        <f t="shared" si="116"/>
        <v>5.0292000000000003</v>
      </c>
      <c r="BA71" s="2">
        <f t="shared" si="82"/>
        <v>5.0292000000000003</v>
      </c>
      <c r="BB71" s="2">
        <f t="shared" si="83"/>
        <v>5.0292000000000003</v>
      </c>
      <c r="BC71" s="2">
        <f t="shared" si="84"/>
        <v>5.0292000000000003</v>
      </c>
      <c r="BD71" s="2">
        <f t="shared" si="85"/>
        <v>5.5321200000000008</v>
      </c>
      <c r="BE71" s="2">
        <f t="shared" si="86"/>
        <v>4.5262800000000007</v>
      </c>
      <c r="BF71" s="2">
        <f t="shared" si="73"/>
        <v>25.244999999999997</v>
      </c>
      <c r="BG71" s="2">
        <f t="shared" si="117"/>
        <v>5.0292000000000003</v>
      </c>
      <c r="BH71" s="2" t="str">
        <f t="shared" si="118"/>
        <v>4.78 Per Unit</v>
      </c>
      <c r="BI71" s="1">
        <f t="shared" si="125"/>
        <v>6.0350400000000004</v>
      </c>
      <c r="BJ71" s="2">
        <f t="shared" si="126"/>
        <v>5.0292000000000003</v>
      </c>
      <c r="BK71" s="2">
        <f t="shared" si="119"/>
        <v>4.7777399999999997</v>
      </c>
      <c r="BL71" s="2">
        <f t="shared" si="120"/>
        <v>5.0292000000000003</v>
      </c>
      <c r="BM71" s="2">
        <v>4.4550000000000001</v>
      </c>
      <c r="BN71" s="2">
        <f t="shared" si="121"/>
        <v>5.0292000000000003</v>
      </c>
      <c r="BO71" s="2">
        <f>MIN(N71:BN71:BN71)</f>
        <v>4.025226</v>
      </c>
      <c r="BP71" s="2">
        <f t="shared" si="122"/>
        <v>25.244999999999997</v>
      </c>
      <c r="BQ71" s="22"/>
    </row>
    <row r="72" spans="1:69" ht="20.100000000000001" customHeight="1" x14ac:dyDescent="0.2">
      <c r="A72" s="17">
        <f t="shared" si="41"/>
        <v>70</v>
      </c>
      <c r="B72" s="24">
        <v>84425</v>
      </c>
      <c r="C72" s="24">
        <v>3018442500</v>
      </c>
      <c r="D72" s="26" t="s">
        <v>142</v>
      </c>
      <c r="E72" s="18" t="s">
        <v>103</v>
      </c>
      <c r="F72" s="33">
        <v>127.38</v>
      </c>
      <c r="G72" s="24">
        <v>301</v>
      </c>
      <c r="H72" s="12">
        <v>0</v>
      </c>
      <c r="I72" s="24">
        <v>0</v>
      </c>
      <c r="J72" s="2">
        <f t="shared" si="92"/>
        <v>28.040584000000003</v>
      </c>
      <c r="K72" s="21" t="s">
        <v>104</v>
      </c>
      <c r="L72" s="1">
        <v>21.569680000000002</v>
      </c>
      <c r="M72" s="2">
        <v>18.894531000000004</v>
      </c>
      <c r="N72" s="1">
        <f>25.4*1.8</f>
        <v>45.72</v>
      </c>
      <c r="O72" s="2">
        <f t="shared" si="93"/>
        <v>21.569680000000002</v>
      </c>
      <c r="P72" s="1">
        <f t="shared" si="47"/>
        <v>82.796999999999997</v>
      </c>
      <c r="Q72" s="2">
        <f t="shared" si="94"/>
        <v>21.569680000000002</v>
      </c>
      <c r="R72" s="1">
        <f t="shared" si="95"/>
        <v>23.726648000000004</v>
      </c>
      <c r="S72" s="2">
        <f t="shared" si="96"/>
        <v>21.569680000000002</v>
      </c>
      <c r="T72" s="2">
        <v>28.421510999999999</v>
      </c>
      <c r="U72" s="1"/>
      <c r="V72" s="1">
        <v>73.67</v>
      </c>
      <c r="W72" s="2">
        <f t="shared" si="97"/>
        <v>21.569680000000002</v>
      </c>
      <c r="X72" s="2">
        <f t="shared" si="98"/>
        <v>21.569680000000002</v>
      </c>
      <c r="Y72" s="2">
        <f t="shared" si="99"/>
        <v>21.569680000000002</v>
      </c>
      <c r="Z72" s="2">
        <v>31.05</v>
      </c>
      <c r="AA72" s="2">
        <f t="shared" si="100"/>
        <v>20.491196000000002</v>
      </c>
      <c r="AB72" s="2">
        <f t="shared" si="101"/>
        <v>20.491196000000002</v>
      </c>
      <c r="AC72" s="2">
        <f t="shared" si="102"/>
        <v>21.569680000000002</v>
      </c>
      <c r="AD72" s="1">
        <f t="shared" si="103"/>
        <v>22.648164000000001</v>
      </c>
      <c r="AE72" s="2">
        <f t="shared" si="104"/>
        <v>21.569680000000002</v>
      </c>
      <c r="AF72" s="2">
        <f t="shared" si="105"/>
        <v>21.569680000000002</v>
      </c>
      <c r="AG72" s="2">
        <f t="shared" si="106"/>
        <v>19.844105600000002</v>
      </c>
      <c r="AH72" s="1">
        <f t="shared" si="60"/>
        <v>89.165999999999997</v>
      </c>
      <c r="AI72" s="2">
        <f t="shared" si="89"/>
        <v>21.569680000000002</v>
      </c>
      <c r="AJ72" s="2">
        <f t="shared" si="123"/>
        <v>21.569680000000002</v>
      </c>
      <c r="AK72" s="1">
        <f t="shared" si="107"/>
        <v>29.334764800000006</v>
      </c>
      <c r="AL72" s="2">
        <f t="shared" si="108"/>
        <v>21.569680000000002</v>
      </c>
      <c r="AM72" s="2">
        <f t="shared" si="109"/>
        <v>21.569680000000002</v>
      </c>
      <c r="AN72" s="1">
        <f t="shared" si="110"/>
        <v>21.569680000000002</v>
      </c>
      <c r="AO72" s="1">
        <f t="shared" si="111"/>
        <v>21.569680000000002</v>
      </c>
      <c r="AP72" s="2">
        <f t="shared" si="112"/>
        <v>18.894531000000004</v>
      </c>
      <c r="AQ72" s="2">
        <f t="shared" si="124"/>
        <v>21.569680000000002</v>
      </c>
      <c r="AR72" s="1">
        <f t="shared" si="67"/>
        <v>63.69</v>
      </c>
      <c r="AS72" s="2">
        <f t="shared" si="81"/>
        <v>47.236327500000009</v>
      </c>
      <c r="AT72" s="2">
        <f t="shared" si="113"/>
        <v>21.569680000000002</v>
      </c>
      <c r="AU72" s="2">
        <v>26.896446225000002</v>
      </c>
      <c r="AV72" s="2">
        <f t="shared" si="127"/>
        <v>20.783984100000005</v>
      </c>
      <c r="AW72" s="2">
        <f t="shared" si="114"/>
        <v>21.569680000000002</v>
      </c>
      <c r="AX72" s="1">
        <f t="shared" si="70"/>
        <v>20.491196000000002</v>
      </c>
      <c r="AY72" s="2" t="str">
        <f t="shared" si="115"/>
        <v>18.98 Per Unit</v>
      </c>
      <c r="AZ72" s="2">
        <f t="shared" si="116"/>
        <v>21.569680000000002</v>
      </c>
      <c r="BA72" s="2">
        <f t="shared" si="82"/>
        <v>21.569680000000002</v>
      </c>
      <c r="BB72" s="2">
        <f t="shared" si="83"/>
        <v>21.569680000000002</v>
      </c>
      <c r="BC72" s="2">
        <f t="shared" si="84"/>
        <v>21.569680000000002</v>
      </c>
      <c r="BD72" s="2">
        <f t="shared" si="85"/>
        <v>23.726648000000004</v>
      </c>
      <c r="BE72" s="2">
        <f t="shared" si="86"/>
        <v>19.412712000000003</v>
      </c>
      <c r="BF72" s="2">
        <f t="shared" si="73"/>
        <v>108.273</v>
      </c>
      <c r="BG72" s="2">
        <f t="shared" si="117"/>
        <v>21.569680000000002</v>
      </c>
      <c r="BH72" s="2" t="str">
        <f t="shared" si="118"/>
        <v>20.49 Per Unit</v>
      </c>
      <c r="BI72" s="1">
        <f t="shared" si="125"/>
        <v>25.883616</v>
      </c>
      <c r="BJ72" s="2">
        <f t="shared" si="126"/>
        <v>21.569680000000002</v>
      </c>
      <c r="BK72" s="2">
        <f t="shared" si="119"/>
        <v>20.491196000000002</v>
      </c>
      <c r="BL72" s="2">
        <f t="shared" si="120"/>
        <v>21.569680000000002</v>
      </c>
      <c r="BM72" s="2">
        <v>19.106999999999999</v>
      </c>
      <c r="BN72" s="2">
        <f t="shared" si="121"/>
        <v>21.569680000000002</v>
      </c>
      <c r="BO72" s="2">
        <f>MIN(N72:BN72:BN72)</f>
        <v>18.894531000000004</v>
      </c>
      <c r="BP72" s="2">
        <f t="shared" si="122"/>
        <v>108.273</v>
      </c>
      <c r="BQ72" s="22"/>
    </row>
    <row r="73" spans="1:69" ht="20.100000000000001" customHeight="1" x14ac:dyDescent="0.2">
      <c r="A73" s="17">
        <f t="shared" si="41"/>
        <v>71</v>
      </c>
      <c r="B73" s="24">
        <v>84480</v>
      </c>
      <c r="C73" s="24">
        <v>3018448000</v>
      </c>
      <c r="D73" s="26" t="s">
        <v>143</v>
      </c>
      <c r="E73" s="18" t="s">
        <v>103</v>
      </c>
      <c r="F73" s="33">
        <v>85.08</v>
      </c>
      <c r="G73" s="24">
        <v>301</v>
      </c>
      <c r="H73" s="12">
        <v>0</v>
      </c>
      <c r="I73" s="24">
        <v>0</v>
      </c>
      <c r="J73" s="2">
        <f t="shared" si="92"/>
        <v>18.728943999999998</v>
      </c>
      <c r="K73" s="21" t="s">
        <v>104</v>
      </c>
      <c r="L73" s="1">
        <v>14.406879999999999</v>
      </c>
      <c r="M73" s="2">
        <v>12.606367000000001</v>
      </c>
      <c r="N73" s="1">
        <f>16.96*1.8</f>
        <v>30.528000000000002</v>
      </c>
      <c r="O73" s="2">
        <f t="shared" si="93"/>
        <v>14.406879999999999</v>
      </c>
      <c r="P73" s="1">
        <f t="shared" si="47"/>
        <v>55.302</v>
      </c>
      <c r="Q73" s="2">
        <f t="shared" si="94"/>
        <v>14.406879999999999</v>
      </c>
      <c r="R73" s="1">
        <f t="shared" si="95"/>
        <v>15.847568000000001</v>
      </c>
      <c r="S73" s="2">
        <f t="shared" si="96"/>
        <v>14.406879999999999</v>
      </c>
      <c r="T73" s="2">
        <v>22.331945000000001</v>
      </c>
      <c r="U73" s="1"/>
      <c r="V73" s="1">
        <v>49.2</v>
      </c>
      <c r="W73" s="2">
        <f t="shared" si="97"/>
        <v>14.406879999999999</v>
      </c>
      <c r="X73" s="2">
        <f t="shared" si="98"/>
        <v>14.406879999999999</v>
      </c>
      <c r="Y73" s="2">
        <f t="shared" si="99"/>
        <v>14.406879999999999</v>
      </c>
      <c r="Z73" s="2">
        <v>20.75</v>
      </c>
      <c r="AA73" s="2">
        <f t="shared" si="100"/>
        <v>13.686535999999998</v>
      </c>
      <c r="AB73" s="2">
        <f t="shared" si="101"/>
        <v>13.686535999999998</v>
      </c>
      <c r="AC73" s="2">
        <f t="shared" si="102"/>
        <v>14.406879999999999</v>
      </c>
      <c r="AD73" s="1">
        <f t="shared" si="103"/>
        <v>15.127224</v>
      </c>
      <c r="AE73" s="2">
        <f t="shared" si="104"/>
        <v>14.406879999999999</v>
      </c>
      <c r="AF73" s="2">
        <f t="shared" si="105"/>
        <v>14.406879999999999</v>
      </c>
      <c r="AG73" s="2">
        <f t="shared" si="106"/>
        <v>13.2543296</v>
      </c>
      <c r="AH73" s="1">
        <f t="shared" si="60"/>
        <v>59.555999999999997</v>
      </c>
      <c r="AI73" s="2">
        <f t="shared" si="89"/>
        <v>14.406879999999999</v>
      </c>
      <c r="AJ73" s="2">
        <f t="shared" si="123"/>
        <v>14.406879999999999</v>
      </c>
      <c r="AK73" s="1">
        <f t="shared" si="107"/>
        <v>19.593356799999999</v>
      </c>
      <c r="AL73" s="2">
        <f t="shared" si="108"/>
        <v>14.406879999999999</v>
      </c>
      <c r="AM73" s="2">
        <f t="shared" si="109"/>
        <v>14.406879999999999</v>
      </c>
      <c r="AN73" s="1">
        <f t="shared" si="110"/>
        <v>14.406879999999999</v>
      </c>
      <c r="AO73" s="1">
        <f t="shared" si="111"/>
        <v>14.406879999999999</v>
      </c>
      <c r="AP73" s="2">
        <f t="shared" si="112"/>
        <v>12.606367000000001</v>
      </c>
      <c r="AQ73" s="2">
        <f t="shared" si="124"/>
        <v>14.406879999999999</v>
      </c>
      <c r="AR73" s="1">
        <f t="shared" si="67"/>
        <v>42.54</v>
      </c>
      <c r="AS73" s="2">
        <f t="shared" si="81"/>
        <v>31.5159175</v>
      </c>
      <c r="AT73" s="2">
        <f t="shared" si="113"/>
        <v>14.406879999999999</v>
      </c>
      <c r="AU73" s="2">
        <v>17.964748350000004</v>
      </c>
      <c r="AV73" s="2">
        <f t="shared" si="127"/>
        <v>13.867003700000001</v>
      </c>
      <c r="AW73" s="2">
        <f t="shared" si="114"/>
        <v>14.406879999999999</v>
      </c>
      <c r="AX73" s="1">
        <f t="shared" si="70"/>
        <v>13.686535999999998</v>
      </c>
      <c r="AY73" s="2" t="str">
        <f t="shared" si="115"/>
        <v>12.68 Per Unit</v>
      </c>
      <c r="AZ73" s="2">
        <f t="shared" si="116"/>
        <v>14.406879999999999</v>
      </c>
      <c r="BA73" s="2">
        <f t="shared" si="82"/>
        <v>14.406879999999999</v>
      </c>
      <c r="BB73" s="2">
        <f t="shared" si="83"/>
        <v>14.406879999999999</v>
      </c>
      <c r="BC73" s="2">
        <f t="shared" si="84"/>
        <v>14.406879999999999</v>
      </c>
      <c r="BD73" s="2">
        <f t="shared" si="85"/>
        <v>15.847568000000001</v>
      </c>
      <c r="BE73" s="2">
        <f t="shared" si="86"/>
        <v>12.966191999999999</v>
      </c>
      <c r="BF73" s="2">
        <f t="shared" si="73"/>
        <v>72.317999999999998</v>
      </c>
      <c r="BG73" s="2">
        <f t="shared" si="117"/>
        <v>14.406879999999999</v>
      </c>
      <c r="BH73" s="2" t="str">
        <f t="shared" si="118"/>
        <v>13.69 Per Unit</v>
      </c>
      <c r="BI73" s="1">
        <f t="shared" si="125"/>
        <v>17.288255999999997</v>
      </c>
      <c r="BJ73" s="2">
        <f t="shared" si="126"/>
        <v>14.406879999999999</v>
      </c>
      <c r="BK73" s="2">
        <f t="shared" si="119"/>
        <v>13.686535999999998</v>
      </c>
      <c r="BL73" s="2">
        <f t="shared" si="120"/>
        <v>14.406879999999999</v>
      </c>
      <c r="BM73" s="2">
        <v>12.762</v>
      </c>
      <c r="BN73" s="2">
        <f t="shared" si="121"/>
        <v>14.406879999999999</v>
      </c>
      <c r="BO73" s="2">
        <f>MIN(N73:BN73:BN73)</f>
        <v>12.606367000000001</v>
      </c>
      <c r="BP73" s="2">
        <f t="shared" si="122"/>
        <v>72.317999999999998</v>
      </c>
      <c r="BQ73" s="22"/>
    </row>
    <row r="74" spans="1:69" ht="20.100000000000001" customHeight="1" x14ac:dyDescent="0.2">
      <c r="A74" s="17">
        <f t="shared" si="41"/>
        <v>72</v>
      </c>
      <c r="B74" s="24">
        <v>86225</v>
      </c>
      <c r="C74" s="24">
        <v>3028622500</v>
      </c>
      <c r="D74" s="26" t="s">
        <v>144</v>
      </c>
      <c r="E74" s="18" t="s">
        <v>103</v>
      </c>
      <c r="F74" s="33">
        <v>82.44</v>
      </c>
      <c r="G74" s="24">
        <v>302</v>
      </c>
      <c r="H74" s="12">
        <v>0</v>
      </c>
      <c r="I74" s="24">
        <v>0</v>
      </c>
      <c r="J74" s="2">
        <f t="shared" si="92"/>
        <v>18.147791999999999</v>
      </c>
      <c r="K74" s="21" t="s">
        <v>104</v>
      </c>
      <c r="L74" s="1">
        <v>13.95984</v>
      </c>
      <c r="M74" s="2">
        <v>12.225873000000002</v>
      </c>
      <c r="N74" s="1">
        <f>16.43*1.8</f>
        <v>29.574000000000002</v>
      </c>
      <c r="O74" s="2">
        <f t="shared" si="93"/>
        <v>13.95984</v>
      </c>
      <c r="P74" s="1">
        <f t="shared" si="47"/>
        <v>53.585999999999999</v>
      </c>
      <c r="Q74" s="2">
        <f t="shared" si="94"/>
        <v>13.95984</v>
      </c>
      <c r="R74" s="1">
        <f t="shared" si="95"/>
        <v>15.355824</v>
      </c>
      <c r="S74" s="2">
        <f t="shared" si="96"/>
        <v>13.95984</v>
      </c>
      <c r="T74" s="2">
        <v>21.652969000000002</v>
      </c>
      <c r="U74" s="1"/>
      <c r="V74" s="1">
        <v>47.68</v>
      </c>
      <c r="W74" s="2">
        <f t="shared" si="97"/>
        <v>13.95984</v>
      </c>
      <c r="X74" s="2">
        <f t="shared" si="98"/>
        <v>13.95984</v>
      </c>
      <c r="Y74" s="2">
        <f t="shared" si="99"/>
        <v>13.95984</v>
      </c>
      <c r="Z74" s="2">
        <v>20.100000000000001</v>
      </c>
      <c r="AA74" s="2">
        <f t="shared" si="100"/>
        <v>13.261847999999999</v>
      </c>
      <c r="AB74" s="2">
        <f t="shared" si="101"/>
        <v>13.261847999999999</v>
      </c>
      <c r="AC74" s="2">
        <f t="shared" si="102"/>
        <v>13.95984</v>
      </c>
      <c r="AD74" s="1">
        <f t="shared" si="103"/>
        <v>14.657832000000001</v>
      </c>
      <c r="AE74" s="2">
        <f t="shared" si="104"/>
        <v>13.95984</v>
      </c>
      <c r="AF74" s="2">
        <f t="shared" si="105"/>
        <v>13.95984</v>
      </c>
      <c r="AG74" s="2">
        <f t="shared" si="106"/>
        <v>12.843052800000001</v>
      </c>
      <c r="AH74" s="1">
        <f t="shared" si="60"/>
        <v>57.707999999999991</v>
      </c>
      <c r="AI74" s="2">
        <f t="shared" si="89"/>
        <v>13.95984</v>
      </c>
      <c r="AJ74" s="2">
        <f t="shared" si="123"/>
        <v>13.95984</v>
      </c>
      <c r="AK74" s="1">
        <f t="shared" si="107"/>
        <v>18.985382400000002</v>
      </c>
      <c r="AL74" s="2">
        <f t="shared" si="108"/>
        <v>13.95984</v>
      </c>
      <c r="AM74" s="2">
        <f t="shared" si="109"/>
        <v>13.95984</v>
      </c>
      <c r="AN74" s="1">
        <f t="shared" si="110"/>
        <v>13.95984</v>
      </c>
      <c r="AO74" s="1">
        <f t="shared" si="111"/>
        <v>13.95984</v>
      </c>
      <c r="AP74" s="2">
        <f t="shared" si="112"/>
        <v>12.225873000000002</v>
      </c>
      <c r="AQ74" s="2">
        <f t="shared" si="124"/>
        <v>13.95984</v>
      </c>
      <c r="AR74" s="1">
        <f t="shared" si="67"/>
        <v>41.22</v>
      </c>
      <c r="AS74" s="2">
        <f t="shared" si="81"/>
        <v>30.564682500000004</v>
      </c>
      <c r="AT74" s="2">
        <f t="shared" si="113"/>
        <v>13.95984</v>
      </c>
      <c r="AU74" s="2">
        <v>17.407309050000002</v>
      </c>
      <c r="AV74" s="2">
        <f t="shared" si="127"/>
        <v>13.448460300000002</v>
      </c>
      <c r="AW74" s="2">
        <f t="shared" si="114"/>
        <v>13.95984</v>
      </c>
      <c r="AX74" s="1">
        <f t="shared" si="70"/>
        <v>13.261847999999999</v>
      </c>
      <c r="AY74" s="2" t="str">
        <f t="shared" si="115"/>
        <v>12.28 Per Unit</v>
      </c>
      <c r="AZ74" s="2">
        <f t="shared" si="116"/>
        <v>13.95984</v>
      </c>
      <c r="BA74" s="2">
        <f t="shared" si="82"/>
        <v>13.95984</v>
      </c>
      <c r="BB74" s="2">
        <f t="shared" si="83"/>
        <v>13.95984</v>
      </c>
      <c r="BC74" s="2">
        <f t="shared" si="84"/>
        <v>13.95984</v>
      </c>
      <c r="BD74" s="2">
        <f t="shared" si="85"/>
        <v>15.355824</v>
      </c>
      <c r="BE74" s="2">
        <f t="shared" si="86"/>
        <v>12.563855999999999</v>
      </c>
      <c r="BF74" s="2">
        <f t="shared" si="73"/>
        <v>70.073999999999998</v>
      </c>
      <c r="BG74" s="2">
        <f t="shared" si="117"/>
        <v>13.95984</v>
      </c>
      <c r="BH74" s="2" t="str">
        <f t="shared" si="118"/>
        <v>13.26 Per Unit</v>
      </c>
      <c r="BI74" s="1">
        <f t="shared" si="125"/>
        <v>16.751808</v>
      </c>
      <c r="BJ74" s="2">
        <f t="shared" si="126"/>
        <v>13.95984</v>
      </c>
      <c r="BK74" s="2">
        <f t="shared" si="119"/>
        <v>13.261847999999999</v>
      </c>
      <c r="BL74" s="2">
        <f t="shared" si="120"/>
        <v>13.95984</v>
      </c>
      <c r="BM74" s="2">
        <v>12.366</v>
      </c>
      <c r="BN74" s="2">
        <f t="shared" si="121"/>
        <v>13.95984</v>
      </c>
      <c r="BO74" s="2">
        <f>MIN(N74:BN74:BN74)</f>
        <v>12.225873000000002</v>
      </c>
      <c r="BP74" s="2">
        <f t="shared" si="122"/>
        <v>70.073999999999998</v>
      </c>
      <c r="BQ74" s="22"/>
    </row>
    <row r="75" spans="1:69" ht="20.100000000000001" customHeight="1" x14ac:dyDescent="0.2">
      <c r="A75" s="17">
        <f t="shared" ref="A75:A138" si="128">A74+1</f>
        <v>73</v>
      </c>
      <c r="B75" s="24">
        <v>86850</v>
      </c>
      <c r="C75" s="24">
        <v>3008685000</v>
      </c>
      <c r="D75" s="26" t="s">
        <v>145</v>
      </c>
      <c r="E75" s="18" t="s">
        <v>103</v>
      </c>
      <c r="F75" s="33">
        <v>58.62</v>
      </c>
      <c r="G75" s="24">
        <v>300</v>
      </c>
      <c r="H75" s="12">
        <v>0</v>
      </c>
      <c r="I75" s="24">
        <v>0</v>
      </c>
      <c r="J75" s="2">
        <f t="shared" si="92"/>
        <v>12.904216000000002</v>
      </c>
      <c r="K75" s="21" t="s">
        <v>104</v>
      </c>
      <c r="L75" s="1">
        <v>9.9263200000000005</v>
      </c>
      <c r="M75" s="2">
        <v>2.6033800000000005</v>
      </c>
      <c r="N75" s="1">
        <f>16.91*1.8</f>
        <v>30.438000000000002</v>
      </c>
      <c r="O75" s="2">
        <f t="shared" si="93"/>
        <v>9.9263200000000005</v>
      </c>
      <c r="P75" s="1">
        <f t="shared" si="47"/>
        <v>38.103000000000002</v>
      </c>
      <c r="Q75" s="2">
        <f t="shared" si="94"/>
        <v>9.9263200000000005</v>
      </c>
      <c r="R75" s="1">
        <f t="shared" si="95"/>
        <v>10.918952000000001</v>
      </c>
      <c r="S75" s="2">
        <f t="shared" si="96"/>
        <v>9.9263200000000005</v>
      </c>
      <c r="T75" s="2">
        <v>17.016836000000001</v>
      </c>
      <c r="U75" s="1"/>
      <c r="V75" s="1">
        <v>33.9</v>
      </c>
      <c r="W75" s="2">
        <f t="shared" si="97"/>
        <v>9.9263200000000005</v>
      </c>
      <c r="X75" s="2">
        <f t="shared" si="98"/>
        <v>9.9263200000000005</v>
      </c>
      <c r="Y75" s="2">
        <f t="shared" si="99"/>
        <v>9.9263200000000005</v>
      </c>
      <c r="Z75" s="2">
        <v>14.3</v>
      </c>
      <c r="AA75" s="2">
        <f t="shared" si="100"/>
        <v>9.4300040000000003</v>
      </c>
      <c r="AB75" s="2">
        <f t="shared" si="101"/>
        <v>9.4300040000000003</v>
      </c>
      <c r="AC75" s="2">
        <f t="shared" si="102"/>
        <v>9.9263200000000005</v>
      </c>
      <c r="AD75" s="1">
        <f t="shared" si="103"/>
        <v>10.422636000000001</v>
      </c>
      <c r="AE75" s="2">
        <f t="shared" si="104"/>
        <v>9.9263200000000005</v>
      </c>
      <c r="AF75" s="2">
        <f t="shared" si="105"/>
        <v>9.9263200000000005</v>
      </c>
      <c r="AG75" s="2">
        <f t="shared" si="106"/>
        <v>9.1322144000000005</v>
      </c>
      <c r="AH75" s="1">
        <f t="shared" si="60"/>
        <v>41.033999999999999</v>
      </c>
      <c r="AI75" s="2">
        <f t="shared" si="89"/>
        <v>9.9263200000000005</v>
      </c>
      <c r="AJ75" s="2">
        <f t="shared" si="123"/>
        <v>9.9263200000000005</v>
      </c>
      <c r="AK75" s="1">
        <f t="shared" si="107"/>
        <v>13.499795200000001</v>
      </c>
      <c r="AL75" s="2">
        <f t="shared" si="108"/>
        <v>9.9263200000000005</v>
      </c>
      <c r="AM75" s="2">
        <f t="shared" si="109"/>
        <v>9.9263200000000005</v>
      </c>
      <c r="AN75" s="1">
        <f t="shared" si="110"/>
        <v>9.9263200000000005</v>
      </c>
      <c r="AO75" s="1">
        <f t="shared" si="111"/>
        <v>9.9263200000000005</v>
      </c>
      <c r="AP75" s="2">
        <f t="shared" si="112"/>
        <v>2.6033800000000005</v>
      </c>
      <c r="AQ75" s="2">
        <f t="shared" si="124"/>
        <v>9.9263200000000005</v>
      </c>
      <c r="AR75" s="1">
        <f t="shared" si="67"/>
        <v>29.31</v>
      </c>
      <c r="AS75" s="2">
        <f t="shared" si="81"/>
        <v>6.5084500000000016</v>
      </c>
      <c r="AT75" s="2">
        <f t="shared" si="113"/>
        <v>9.9263200000000005</v>
      </c>
      <c r="AU75" s="2">
        <v>12.377686275000002</v>
      </c>
      <c r="AV75" s="2">
        <f t="shared" si="127"/>
        <v>2.8637180000000009</v>
      </c>
      <c r="AW75" s="2">
        <f t="shared" si="114"/>
        <v>9.9263200000000005</v>
      </c>
      <c r="AX75" s="1">
        <f t="shared" si="70"/>
        <v>9.4300040000000003</v>
      </c>
      <c r="AY75" s="2" t="str">
        <f t="shared" si="115"/>
        <v>8.74 Per Unit</v>
      </c>
      <c r="AZ75" s="2">
        <f t="shared" si="116"/>
        <v>9.9263200000000005</v>
      </c>
      <c r="BA75" s="2">
        <f t="shared" si="82"/>
        <v>9.9263200000000005</v>
      </c>
      <c r="BB75" s="2">
        <f t="shared" si="83"/>
        <v>9.9263200000000005</v>
      </c>
      <c r="BC75" s="2">
        <f t="shared" si="84"/>
        <v>9.9263200000000005</v>
      </c>
      <c r="BD75" s="2">
        <f t="shared" si="85"/>
        <v>10.918952000000001</v>
      </c>
      <c r="BE75" s="2">
        <f t="shared" si="86"/>
        <v>8.9336880000000001</v>
      </c>
      <c r="BF75" s="2">
        <f t="shared" si="73"/>
        <v>49.826999999999998</v>
      </c>
      <c r="BG75" s="2">
        <f t="shared" si="117"/>
        <v>9.9263200000000005</v>
      </c>
      <c r="BH75" s="2" t="str">
        <f t="shared" si="118"/>
        <v>9.43 Per Unit</v>
      </c>
      <c r="BI75" s="1">
        <f t="shared" si="125"/>
        <v>11.911584</v>
      </c>
      <c r="BJ75" s="2">
        <f t="shared" si="126"/>
        <v>9.9263200000000005</v>
      </c>
      <c r="BK75" s="2">
        <f t="shared" si="119"/>
        <v>9.4300040000000003</v>
      </c>
      <c r="BL75" s="2">
        <f t="shared" si="120"/>
        <v>9.9263200000000005</v>
      </c>
      <c r="BM75" s="2">
        <v>8.7929999999999993</v>
      </c>
      <c r="BN75" s="2">
        <f t="shared" si="121"/>
        <v>9.9263200000000005</v>
      </c>
      <c r="BO75" s="2">
        <f>MIN(N75:BN75:BN75)</f>
        <v>2.6033800000000005</v>
      </c>
      <c r="BP75" s="2">
        <f t="shared" si="122"/>
        <v>49.826999999999998</v>
      </c>
      <c r="BQ75" s="22"/>
    </row>
    <row r="76" spans="1:69" ht="20.100000000000001" customHeight="1" x14ac:dyDescent="0.2">
      <c r="A76" s="17">
        <f t="shared" si="128"/>
        <v>74</v>
      </c>
      <c r="B76" s="24">
        <v>86900</v>
      </c>
      <c r="C76" s="24">
        <v>3008690000</v>
      </c>
      <c r="D76" s="26" t="s">
        <v>146</v>
      </c>
      <c r="E76" s="18" t="s">
        <v>103</v>
      </c>
      <c r="F76" s="33">
        <v>17.940000000000001</v>
      </c>
      <c r="G76" s="24">
        <v>300</v>
      </c>
      <c r="H76" s="12">
        <v>0</v>
      </c>
      <c r="I76" s="24">
        <v>0</v>
      </c>
      <c r="J76" s="2">
        <f t="shared" si="92"/>
        <v>3.9491920000000005</v>
      </c>
      <c r="K76" s="21" t="s">
        <v>104</v>
      </c>
      <c r="L76" s="1">
        <v>3.0378400000000001</v>
      </c>
      <c r="M76" s="2">
        <v>2.3830940000000003</v>
      </c>
      <c r="N76" s="1">
        <f>3.57*1.8</f>
        <v>6.4260000000000002</v>
      </c>
      <c r="O76" s="2">
        <f t="shared" si="93"/>
        <v>3.0378400000000001</v>
      </c>
      <c r="P76" s="1">
        <f t="shared" si="47"/>
        <v>11.661000000000001</v>
      </c>
      <c r="Q76" s="2">
        <f t="shared" si="94"/>
        <v>3.0378400000000001</v>
      </c>
      <c r="R76" s="1">
        <f t="shared" si="95"/>
        <v>3.3416240000000004</v>
      </c>
      <c r="S76" s="2">
        <f t="shared" si="96"/>
        <v>3.0378400000000001</v>
      </c>
      <c r="T76" s="2">
        <v>4.6997869999999997</v>
      </c>
      <c r="U76" s="1"/>
      <c r="V76" s="1">
        <v>10.38</v>
      </c>
      <c r="W76" s="2">
        <f t="shared" si="97"/>
        <v>3.0378400000000001</v>
      </c>
      <c r="X76" s="2">
        <f t="shared" si="98"/>
        <v>3.0378400000000001</v>
      </c>
      <c r="Y76" s="2">
        <f t="shared" si="99"/>
        <v>3.0378400000000001</v>
      </c>
      <c r="Z76" s="2">
        <v>4.37</v>
      </c>
      <c r="AA76" s="2">
        <f t="shared" si="100"/>
        <v>2.885948</v>
      </c>
      <c r="AB76" s="2">
        <f t="shared" si="101"/>
        <v>2.885948</v>
      </c>
      <c r="AC76" s="2">
        <f t="shared" si="102"/>
        <v>3.0378400000000001</v>
      </c>
      <c r="AD76" s="1">
        <f t="shared" si="103"/>
        <v>3.1897320000000002</v>
      </c>
      <c r="AE76" s="2">
        <f t="shared" si="104"/>
        <v>3.0378400000000001</v>
      </c>
      <c r="AF76" s="2">
        <f t="shared" si="105"/>
        <v>3.0378400000000001</v>
      </c>
      <c r="AG76" s="2">
        <f t="shared" si="106"/>
        <v>2.7948128000000003</v>
      </c>
      <c r="AH76" s="1">
        <f t="shared" si="60"/>
        <v>12.558</v>
      </c>
      <c r="AI76" s="2">
        <f t="shared" si="89"/>
        <v>3.0378400000000001</v>
      </c>
      <c r="AJ76" s="2">
        <f t="shared" si="123"/>
        <v>3.0378400000000001</v>
      </c>
      <c r="AK76" s="1">
        <f t="shared" si="107"/>
        <v>4.1314624000000002</v>
      </c>
      <c r="AL76" s="2">
        <f t="shared" si="108"/>
        <v>3.0378400000000001</v>
      </c>
      <c r="AM76" s="2">
        <f t="shared" si="109"/>
        <v>3.0378400000000001</v>
      </c>
      <c r="AN76" s="1">
        <f t="shared" si="110"/>
        <v>3.0378400000000001</v>
      </c>
      <c r="AO76" s="1">
        <f t="shared" si="111"/>
        <v>3.0378400000000001</v>
      </c>
      <c r="AP76" s="2">
        <f t="shared" si="112"/>
        <v>2.3830940000000003</v>
      </c>
      <c r="AQ76" s="2">
        <f t="shared" si="124"/>
        <v>3.0378400000000001</v>
      </c>
      <c r="AR76" s="1">
        <f t="shared" si="67"/>
        <v>8.9700000000000006</v>
      </c>
      <c r="AS76" s="2">
        <f t="shared" si="81"/>
        <v>5.9577350000000004</v>
      </c>
      <c r="AT76" s="2">
        <f t="shared" si="113"/>
        <v>3.0378400000000001</v>
      </c>
      <c r="AU76" s="2">
        <v>135.86316030000006</v>
      </c>
      <c r="AV76" s="2">
        <f t="shared" si="127"/>
        <v>2.6214034000000006</v>
      </c>
      <c r="AW76" s="2">
        <f t="shared" si="114"/>
        <v>3.0378400000000001</v>
      </c>
      <c r="AX76" s="1">
        <f t="shared" si="70"/>
        <v>2.885948</v>
      </c>
      <c r="AY76" s="2" t="str">
        <f t="shared" si="115"/>
        <v>2.67 Per Unit</v>
      </c>
      <c r="AZ76" s="2">
        <f t="shared" si="116"/>
        <v>3.0378400000000001</v>
      </c>
      <c r="BA76" s="2">
        <f t="shared" si="82"/>
        <v>3.0378400000000001</v>
      </c>
      <c r="BB76" s="2">
        <f t="shared" si="83"/>
        <v>3.0378400000000001</v>
      </c>
      <c r="BC76" s="2">
        <f t="shared" si="84"/>
        <v>3.0378400000000001</v>
      </c>
      <c r="BD76" s="2">
        <f t="shared" si="85"/>
        <v>3.3416240000000004</v>
      </c>
      <c r="BE76" s="2">
        <f t="shared" si="86"/>
        <v>2.7340560000000003</v>
      </c>
      <c r="BF76" s="2">
        <f t="shared" si="73"/>
        <v>15.249000000000001</v>
      </c>
      <c r="BG76" s="2">
        <f t="shared" si="117"/>
        <v>3.0378400000000001</v>
      </c>
      <c r="BH76" s="2" t="str">
        <f t="shared" si="118"/>
        <v>2.89 Per Unit</v>
      </c>
      <c r="BI76" s="1">
        <f t="shared" si="125"/>
        <v>3.6454079999999998</v>
      </c>
      <c r="BJ76" s="2">
        <f t="shared" si="126"/>
        <v>3.0378400000000001</v>
      </c>
      <c r="BK76" s="2">
        <f t="shared" si="119"/>
        <v>2.885948</v>
      </c>
      <c r="BL76" s="2">
        <f t="shared" si="120"/>
        <v>3.0378400000000001</v>
      </c>
      <c r="BM76" s="2">
        <v>2.6910000000000003</v>
      </c>
      <c r="BN76" s="2">
        <f t="shared" si="121"/>
        <v>3.0378400000000001</v>
      </c>
      <c r="BO76" s="2">
        <f>MIN(N76:BN76:BN76)</f>
        <v>2.3830940000000003</v>
      </c>
      <c r="BP76" s="2">
        <f t="shared" si="122"/>
        <v>135.86316030000006</v>
      </c>
      <c r="BQ76" s="22"/>
    </row>
    <row r="77" spans="1:69" ht="20.100000000000001" customHeight="1" x14ac:dyDescent="0.2">
      <c r="A77" s="17">
        <f t="shared" si="128"/>
        <v>75</v>
      </c>
      <c r="B77" s="24">
        <v>86901</v>
      </c>
      <c r="C77" s="24">
        <v>3008690100</v>
      </c>
      <c r="D77" s="26" t="s">
        <v>147</v>
      </c>
      <c r="E77" s="18" t="s">
        <v>103</v>
      </c>
      <c r="F77" s="33">
        <v>17.940000000000001</v>
      </c>
      <c r="G77" s="24">
        <v>300</v>
      </c>
      <c r="H77" s="12">
        <v>0</v>
      </c>
      <c r="I77" s="24">
        <v>0</v>
      </c>
      <c r="J77" s="2">
        <f t="shared" si="92"/>
        <v>3.9491920000000005</v>
      </c>
      <c r="K77" s="21" t="s">
        <v>104</v>
      </c>
      <c r="L77" s="1">
        <v>3.0378400000000001</v>
      </c>
      <c r="M77" s="2">
        <v>2.4631980000000002</v>
      </c>
      <c r="N77" s="1">
        <f>3.57*1.8</f>
        <v>6.4260000000000002</v>
      </c>
      <c r="O77" s="2">
        <f t="shared" si="93"/>
        <v>3.0378400000000001</v>
      </c>
      <c r="P77" s="1">
        <f t="shared" si="47"/>
        <v>11.661000000000001</v>
      </c>
      <c r="Q77" s="2">
        <f t="shared" si="94"/>
        <v>3.0378400000000001</v>
      </c>
      <c r="R77" s="1">
        <f t="shared" si="95"/>
        <v>3.3416240000000004</v>
      </c>
      <c r="S77" s="2">
        <f t="shared" si="96"/>
        <v>3.0378400000000001</v>
      </c>
      <c r="T77" s="2">
        <v>9.9300240000000013</v>
      </c>
      <c r="U77" s="1"/>
      <c r="V77" s="1">
        <v>10.38</v>
      </c>
      <c r="W77" s="2">
        <f t="shared" si="97"/>
        <v>3.0378400000000001</v>
      </c>
      <c r="X77" s="2">
        <f t="shared" si="98"/>
        <v>3.0378400000000001</v>
      </c>
      <c r="Y77" s="2">
        <f t="shared" si="99"/>
        <v>3.0378400000000001</v>
      </c>
      <c r="Z77" s="2">
        <v>4.37</v>
      </c>
      <c r="AA77" s="2">
        <f t="shared" si="100"/>
        <v>2.885948</v>
      </c>
      <c r="AB77" s="2">
        <f t="shared" si="101"/>
        <v>2.885948</v>
      </c>
      <c r="AC77" s="2">
        <f t="shared" si="102"/>
        <v>3.0378400000000001</v>
      </c>
      <c r="AD77" s="1">
        <f t="shared" si="103"/>
        <v>3.1897320000000002</v>
      </c>
      <c r="AE77" s="2">
        <f t="shared" si="104"/>
        <v>3.0378400000000001</v>
      </c>
      <c r="AF77" s="2">
        <f t="shared" si="105"/>
        <v>3.0378400000000001</v>
      </c>
      <c r="AG77" s="2">
        <f t="shared" si="106"/>
        <v>2.7948128000000003</v>
      </c>
      <c r="AH77" s="1">
        <f t="shared" si="60"/>
        <v>12.558</v>
      </c>
      <c r="AI77" s="2">
        <f t="shared" si="89"/>
        <v>3.0378400000000001</v>
      </c>
      <c r="AJ77" s="2">
        <f t="shared" si="123"/>
        <v>3.0378400000000001</v>
      </c>
      <c r="AK77" s="1">
        <f t="shared" si="107"/>
        <v>4.1314624000000002</v>
      </c>
      <c r="AL77" s="2">
        <f t="shared" si="108"/>
        <v>3.0378400000000001</v>
      </c>
      <c r="AM77" s="2">
        <f t="shared" si="109"/>
        <v>3.0378400000000001</v>
      </c>
      <c r="AN77" s="1">
        <f t="shared" si="110"/>
        <v>3.0378400000000001</v>
      </c>
      <c r="AO77" s="1">
        <f t="shared" si="111"/>
        <v>3.0378400000000001</v>
      </c>
      <c r="AP77" s="2">
        <f t="shared" si="112"/>
        <v>2.4631980000000002</v>
      </c>
      <c r="AQ77" s="2">
        <f t="shared" si="124"/>
        <v>3.0378400000000001</v>
      </c>
      <c r="AR77" s="1">
        <f t="shared" si="67"/>
        <v>8.9700000000000006</v>
      </c>
      <c r="AS77" s="2">
        <f t="shared" si="81"/>
        <v>6.1579950000000006</v>
      </c>
      <c r="AT77" s="2">
        <f t="shared" si="113"/>
        <v>3.0378400000000001</v>
      </c>
      <c r="AU77" s="2">
        <v>3.7880534250000011</v>
      </c>
      <c r="AV77" s="2">
        <f t="shared" si="127"/>
        <v>2.7095178000000004</v>
      </c>
      <c r="AW77" s="2">
        <f t="shared" si="114"/>
        <v>3.0378400000000001</v>
      </c>
      <c r="AX77" s="1">
        <f t="shared" si="70"/>
        <v>2.885948</v>
      </c>
      <c r="AY77" s="2" t="str">
        <f t="shared" si="115"/>
        <v>2.67 Per Unit</v>
      </c>
      <c r="AZ77" s="2">
        <f t="shared" si="116"/>
        <v>3.0378400000000001</v>
      </c>
      <c r="BA77" s="2">
        <f t="shared" si="82"/>
        <v>3.0378400000000001</v>
      </c>
      <c r="BB77" s="2">
        <f t="shared" si="83"/>
        <v>3.0378400000000001</v>
      </c>
      <c r="BC77" s="2">
        <f t="shared" si="84"/>
        <v>3.0378400000000001</v>
      </c>
      <c r="BD77" s="2">
        <f t="shared" si="85"/>
        <v>3.3416240000000004</v>
      </c>
      <c r="BE77" s="2">
        <f t="shared" si="86"/>
        <v>2.7340560000000003</v>
      </c>
      <c r="BF77" s="2">
        <f t="shared" si="73"/>
        <v>15.249000000000001</v>
      </c>
      <c r="BG77" s="2">
        <f t="shared" si="117"/>
        <v>3.0378400000000001</v>
      </c>
      <c r="BH77" s="2" t="str">
        <f t="shared" si="118"/>
        <v>2.89 Per Unit</v>
      </c>
      <c r="BI77" s="1">
        <f t="shared" si="125"/>
        <v>3.6454079999999998</v>
      </c>
      <c r="BJ77" s="2">
        <f t="shared" si="126"/>
        <v>3.0378400000000001</v>
      </c>
      <c r="BK77" s="2">
        <f t="shared" si="119"/>
        <v>2.885948</v>
      </c>
      <c r="BL77" s="2">
        <f t="shared" si="120"/>
        <v>3.0378400000000001</v>
      </c>
      <c r="BM77" s="2">
        <v>2.6910000000000003</v>
      </c>
      <c r="BN77" s="2">
        <f t="shared" si="121"/>
        <v>3.0378400000000001</v>
      </c>
      <c r="BO77" s="2">
        <f>MIN(N77:BN77:BN77)</f>
        <v>2.4631980000000002</v>
      </c>
      <c r="BP77" s="2">
        <f t="shared" si="122"/>
        <v>15.249000000000001</v>
      </c>
      <c r="BQ77" s="22"/>
    </row>
    <row r="78" spans="1:69" ht="20.100000000000001" customHeight="1" x14ac:dyDescent="0.2">
      <c r="A78" s="17">
        <f t="shared" si="128"/>
        <v>76</v>
      </c>
      <c r="B78" s="24">
        <v>87040</v>
      </c>
      <c r="C78" s="24">
        <v>3068704000</v>
      </c>
      <c r="D78" s="19" t="s">
        <v>148</v>
      </c>
      <c r="E78" s="18" t="s">
        <v>103</v>
      </c>
      <c r="F78" s="33">
        <v>61.92</v>
      </c>
      <c r="G78" s="24">
        <v>306</v>
      </c>
      <c r="H78" s="12">
        <v>0</v>
      </c>
      <c r="I78" s="24">
        <v>0</v>
      </c>
      <c r="J78" s="2">
        <f t="shared" si="92"/>
        <v>13.630656</v>
      </c>
      <c r="K78" s="21" t="s">
        <v>104</v>
      </c>
      <c r="L78" s="1">
        <v>10.48512</v>
      </c>
      <c r="M78" s="2">
        <v>8.9916740000000015</v>
      </c>
      <c r="N78" s="1">
        <f>12.35*1.8</f>
        <v>22.23</v>
      </c>
      <c r="O78" s="2">
        <f t="shared" si="93"/>
        <v>10.48512</v>
      </c>
      <c r="P78" s="1">
        <f t="shared" si="47"/>
        <v>40.248000000000005</v>
      </c>
      <c r="Q78" s="2">
        <f t="shared" si="94"/>
        <v>10.48512</v>
      </c>
      <c r="R78" s="1">
        <f t="shared" si="95"/>
        <v>11.533632000000001</v>
      </c>
      <c r="S78" s="2">
        <f t="shared" si="96"/>
        <v>10.48512</v>
      </c>
      <c r="T78" s="2">
        <v>16.263597000000001</v>
      </c>
      <c r="U78" s="1"/>
      <c r="V78" s="1">
        <v>35.81</v>
      </c>
      <c r="W78" s="2">
        <f t="shared" si="97"/>
        <v>10.48512</v>
      </c>
      <c r="X78" s="2">
        <f t="shared" si="98"/>
        <v>10.48512</v>
      </c>
      <c r="Y78" s="2">
        <f t="shared" si="99"/>
        <v>10.48512</v>
      </c>
      <c r="Z78" s="2">
        <v>15.11</v>
      </c>
      <c r="AA78" s="2">
        <f t="shared" si="100"/>
        <v>9.9608639999999991</v>
      </c>
      <c r="AB78" s="2">
        <f t="shared" si="101"/>
        <v>9.9608639999999991</v>
      </c>
      <c r="AC78" s="2">
        <f t="shared" si="102"/>
        <v>10.48512</v>
      </c>
      <c r="AD78" s="1">
        <f t="shared" si="103"/>
        <v>11.009376000000001</v>
      </c>
      <c r="AE78" s="2">
        <f t="shared" si="104"/>
        <v>10.48512</v>
      </c>
      <c r="AF78" s="2">
        <f t="shared" si="105"/>
        <v>10.48512</v>
      </c>
      <c r="AG78" s="2">
        <f t="shared" si="106"/>
        <v>9.6463104000000008</v>
      </c>
      <c r="AH78" s="1">
        <f t="shared" si="60"/>
        <v>43.344000000000001</v>
      </c>
      <c r="AI78" s="2">
        <f t="shared" si="89"/>
        <v>10.48512</v>
      </c>
      <c r="AJ78" s="2">
        <f t="shared" si="123"/>
        <v>10.48512</v>
      </c>
      <c r="AK78" s="1">
        <f t="shared" si="107"/>
        <v>14.259763200000002</v>
      </c>
      <c r="AL78" s="2">
        <f t="shared" si="108"/>
        <v>10.48512</v>
      </c>
      <c r="AM78" s="2">
        <f t="shared" si="109"/>
        <v>10.48512</v>
      </c>
      <c r="AN78" s="1">
        <f t="shared" si="110"/>
        <v>10.48512</v>
      </c>
      <c r="AO78" s="1">
        <f t="shared" si="111"/>
        <v>10.48512</v>
      </c>
      <c r="AP78" s="2">
        <f t="shared" si="112"/>
        <v>8.9916740000000015</v>
      </c>
      <c r="AQ78" s="2">
        <f t="shared" si="124"/>
        <v>10.48512</v>
      </c>
      <c r="AR78" s="1">
        <f t="shared" si="67"/>
        <v>30.96</v>
      </c>
      <c r="AS78" s="2">
        <f t="shared" si="81"/>
        <v>22.479185000000005</v>
      </c>
      <c r="AT78" s="2">
        <f t="shared" si="113"/>
        <v>10.48512</v>
      </c>
      <c r="AU78" s="2">
        <v>13.074485400000004</v>
      </c>
      <c r="AV78" s="2">
        <f t="shared" si="127"/>
        <v>9.8908414000000029</v>
      </c>
      <c r="AW78" s="2">
        <f t="shared" si="114"/>
        <v>10.48512</v>
      </c>
      <c r="AX78" s="1">
        <f>F78*0.5</f>
        <v>30.96</v>
      </c>
      <c r="AY78" s="2" t="str">
        <f t="shared" si="115"/>
        <v>9.23 Per Unit</v>
      </c>
      <c r="AZ78" s="2">
        <f t="shared" si="116"/>
        <v>10.48512</v>
      </c>
      <c r="BA78" s="2">
        <f t="shared" si="82"/>
        <v>10.48512</v>
      </c>
      <c r="BB78" s="2">
        <f t="shared" si="83"/>
        <v>10.48512</v>
      </c>
      <c r="BC78" s="2">
        <f t="shared" si="84"/>
        <v>10.48512</v>
      </c>
      <c r="BD78" s="2">
        <f t="shared" si="85"/>
        <v>11.533632000000001</v>
      </c>
      <c r="BE78" s="2">
        <f t="shared" si="86"/>
        <v>9.4366079999999997</v>
      </c>
      <c r="BF78" s="2">
        <f t="shared" si="73"/>
        <v>52.631999999999998</v>
      </c>
      <c r="BG78" s="2">
        <f t="shared" si="117"/>
        <v>10.48512</v>
      </c>
      <c r="BH78" s="2" t="str">
        <f t="shared" si="118"/>
        <v>9.96 Per Unit</v>
      </c>
      <c r="BI78" s="1">
        <f t="shared" si="125"/>
        <v>12.582144</v>
      </c>
      <c r="BJ78" s="2">
        <f t="shared" si="126"/>
        <v>10.48512</v>
      </c>
      <c r="BK78" s="2">
        <f t="shared" si="119"/>
        <v>9.9608639999999991</v>
      </c>
      <c r="BL78" s="2">
        <f t="shared" si="120"/>
        <v>10.48512</v>
      </c>
      <c r="BM78" s="2">
        <v>9.2880000000000003</v>
      </c>
      <c r="BN78" s="2">
        <f t="shared" si="121"/>
        <v>10.48512</v>
      </c>
      <c r="BO78" s="2">
        <f>MIN(N78:BN78:BN78)</f>
        <v>8.9916740000000015</v>
      </c>
      <c r="BP78" s="2">
        <f t="shared" si="122"/>
        <v>52.631999999999998</v>
      </c>
      <c r="BQ78" s="22"/>
    </row>
    <row r="79" spans="1:69" ht="20.100000000000001" customHeight="1" x14ac:dyDescent="0.2">
      <c r="A79" s="17">
        <f t="shared" si="128"/>
        <v>77</v>
      </c>
      <c r="B79" s="24">
        <v>80048</v>
      </c>
      <c r="C79" s="24">
        <v>3018004800</v>
      </c>
      <c r="D79" s="26" t="s">
        <v>149</v>
      </c>
      <c r="E79" s="18" t="s">
        <v>103</v>
      </c>
      <c r="F79" s="33">
        <v>50.76</v>
      </c>
      <c r="G79" s="24">
        <v>300</v>
      </c>
      <c r="H79" s="12">
        <v>0</v>
      </c>
      <c r="I79" s="24">
        <v>0</v>
      </c>
      <c r="J79" s="2">
        <f t="shared" si="92"/>
        <v>11.173968000000002</v>
      </c>
      <c r="K79" s="21" t="s">
        <v>104</v>
      </c>
      <c r="L79" s="2">
        <v>8.5953600000000012</v>
      </c>
      <c r="M79" s="2">
        <v>7.2794509999999999</v>
      </c>
      <c r="N79" s="1">
        <f>10.12*1.8</f>
        <v>18.215999999999998</v>
      </c>
      <c r="O79" s="2">
        <f t="shared" si="93"/>
        <v>8.5953600000000012</v>
      </c>
      <c r="P79" s="1">
        <f t="shared" si="47"/>
        <v>32.994</v>
      </c>
      <c r="Q79" s="2">
        <f t="shared" si="94"/>
        <v>8.5953600000000012</v>
      </c>
      <c r="R79" s="1">
        <f t="shared" si="95"/>
        <v>9.4548960000000015</v>
      </c>
      <c r="S79" s="2">
        <f t="shared" si="96"/>
        <v>8.5953600000000012</v>
      </c>
      <c r="T79" s="2">
        <v>13.335513000000001</v>
      </c>
      <c r="U79" s="1"/>
      <c r="V79" s="1">
        <v>29.36</v>
      </c>
      <c r="W79" s="2">
        <f t="shared" si="97"/>
        <v>8.5953600000000012</v>
      </c>
      <c r="X79" s="2">
        <f t="shared" si="98"/>
        <v>8.5953600000000012</v>
      </c>
      <c r="Y79" s="2">
        <f t="shared" si="99"/>
        <v>8.5953600000000012</v>
      </c>
      <c r="Z79" s="2">
        <v>12.38</v>
      </c>
      <c r="AA79" s="2">
        <f t="shared" si="100"/>
        <v>8.1655920000000002</v>
      </c>
      <c r="AB79" s="2">
        <f t="shared" si="101"/>
        <v>8.1655920000000002</v>
      </c>
      <c r="AC79" s="2">
        <f t="shared" si="102"/>
        <v>8.5953600000000012</v>
      </c>
      <c r="AD79" s="1">
        <f t="shared" si="103"/>
        <v>9.0251280000000023</v>
      </c>
      <c r="AE79" s="2">
        <f t="shared" si="104"/>
        <v>8.5953600000000012</v>
      </c>
      <c r="AF79" s="2">
        <f t="shared" si="105"/>
        <v>8.5953600000000012</v>
      </c>
      <c r="AG79" s="2">
        <f t="shared" si="106"/>
        <v>7.9077312000000015</v>
      </c>
      <c r="AH79" s="1">
        <f t="shared" si="60"/>
        <v>35.531999999999996</v>
      </c>
      <c r="AI79" s="2">
        <f t="shared" si="89"/>
        <v>8.5953600000000012</v>
      </c>
      <c r="AJ79" s="2">
        <f t="shared" si="123"/>
        <v>8.5953600000000012</v>
      </c>
      <c r="AK79" s="1">
        <f t="shared" si="107"/>
        <v>11.689689600000003</v>
      </c>
      <c r="AL79" s="2">
        <f t="shared" si="108"/>
        <v>8.5953600000000012</v>
      </c>
      <c r="AM79" s="2">
        <f t="shared" si="109"/>
        <v>8.5953600000000012</v>
      </c>
      <c r="AN79" s="1">
        <f t="shared" si="110"/>
        <v>8.5953600000000012</v>
      </c>
      <c r="AO79" s="1">
        <f t="shared" si="111"/>
        <v>8.5953600000000012</v>
      </c>
      <c r="AP79" s="2">
        <f t="shared" si="112"/>
        <v>7.2794509999999999</v>
      </c>
      <c r="AQ79" s="2">
        <f t="shared" si="124"/>
        <v>8.5953600000000012</v>
      </c>
      <c r="AR79" s="1">
        <f t="shared" si="67"/>
        <v>25.38</v>
      </c>
      <c r="AS79" s="2">
        <f t="shared" si="81"/>
        <v>18.198627500000001</v>
      </c>
      <c r="AT79" s="2">
        <f t="shared" si="113"/>
        <v>8.5953600000000012</v>
      </c>
      <c r="AU79" s="2">
        <v>10.718037450000002</v>
      </c>
      <c r="AV79" s="2">
        <f t="shared" si="127"/>
        <v>8.0073961000000011</v>
      </c>
      <c r="AW79" s="2">
        <f t="shared" si="114"/>
        <v>8.5953600000000012</v>
      </c>
      <c r="AX79" s="1">
        <f t="shared" ref="AX79:AX113" si="129">L79*0.95</f>
        <v>8.1655920000000002</v>
      </c>
      <c r="AY79" s="2" t="str">
        <f t="shared" si="115"/>
        <v>7.56 Per Unit</v>
      </c>
      <c r="AZ79" s="2">
        <f t="shared" si="116"/>
        <v>8.5953600000000012</v>
      </c>
      <c r="BA79" s="2">
        <f t="shared" si="82"/>
        <v>8.5953600000000012</v>
      </c>
      <c r="BB79" s="2">
        <f t="shared" si="83"/>
        <v>8.5953600000000012</v>
      </c>
      <c r="BC79" s="2">
        <f t="shared" si="84"/>
        <v>8.5953600000000012</v>
      </c>
      <c r="BD79" s="2">
        <f t="shared" si="85"/>
        <v>9.4548960000000015</v>
      </c>
      <c r="BE79" s="2">
        <f t="shared" si="86"/>
        <v>7.7358240000000009</v>
      </c>
      <c r="BF79" s="2">
        <f t="shared" si="73"/>
        <v>43.145999999999994</v>
      </c>
      <c r="BG79" s="2">
        <f t="shared" si="117"/>
        <v>8.5953600000000012</v>
      </c>
      <c r="BH79" s="2" t="str">
        <f t="shared" si="118"/>
        <v>8.17 Per Unit</v>
      </c>
      <c r="BI79" s="1">
        <f t="shared" si="125"/>
        <v>10.314432000000002</v>
      </c>
      <c r="BJ79" s="2">
        <f t="shared" si="126"/>
        <v>8.5953600000000012</v>
      </c>
      <c r="BK79" s="2">
        <f t="shared" si="119"/>
        <v>8.1655920000000002</v>
      </c>
      <c r="BL79" s="2">
        <f t="shared" si="120"/>
        <v>8.5953600000000012</v>
      </c>
      <c r="BM79" s="2">
        <v>7.6140000000000008</v>
      </c>
      <c r="BN79" s="2">
        <f t="shared" si="121"/>
        <v>8.5953600000000012</v>
      </c>
      <c r="BO79" s="2">
        <f>MIN(N79:BN79:BN79)</f>
        <v>7.2794509999999999</v>
      </c>
      <c r="BP79" s="2">
        <f t="shared" si="122"/>
        <v>43.145999999999994</v>
      </c>
      <c r="BQ79" s="22"/>
    </row>
    <row r="80" spans="1:69" ht="20.100000000000001" customHeight="1" x14ac:dyDescent="0.2">
      <c r="A80" s="17">
        <f t="shared" si="128"/>
        <v>78</v>
      </c>
      <c r="B80" s="24">
        <v>80053</v>
      </c>
      <c r="C80" s="24">
        <v>3018005300</v>
      </c>
      <c r="D80" s="26" t="s">
        <v>150</v>
      </c>
      <c r="E80" s="18" t="s">
        <v>103</v>
      </c>
      <c r="F80" s="33">
        <v>63.36</v>
      </c>
      <c r="G80" s="24">
        <v>301</v>
      </c>
      <c r="H80" s="12">
        <v>0</v>
      </c>
      <c r="I80" s="24">
        <v>0</v>
      </c>
      <c r="J80" s="2">
        <f t="shared" si="92"/>
        <v>13.947648000000001</v>
      </c>
      <c r="K80" s="21" t="s">
        <v>104</v>
      </c>
      <c r="L80" s="2">
        <v>10.728960000000001</v>
      </c>
      <c r="M80" s="2">
        <v>9.2920639999999999</v>
      </c>
      <c r="N80" s="11">
        <f>12.64*1.8</f>
        <v>22.752000000000002</v>
      </c>
      <c r="O80" s="2">
        <f t="shared" si="93"/>
        <v>10.728960000000001</v>
      </c>
      <c r="P80" s="1">
        <f t="shared" si="47"/>
        <v>41.183999999999997</v>
      </c>
      <c r="Q80" s="2">
        <f t="shared" si="94"/>
        <v>10.728960000000001</v>
      </c>
      <c r="R80" s="1">
        <f t="shared" si="95"/>
        <v>11.801856000000003</v>
      </c>
      <c r="S80" s="2">
        <f t="shared" si="96"/>
        <v>10.728960000000001</v>
      </c>
      <c r="T80" s="2">
        <v>16.677348000000002</v>
      </c>
      <c r="U80" s="1"/>
      <c r="V80" s="1">
        <v>36.64</v>
      </c>
      <c r="W80" s="2">
        <f t="shared" si="97"/>
        <v>10.728960000000001</v>
      </c>
      <c r="X80" s="2">
        <f t="shared" si="98"/>
        <v>10.728960000000001</v>
      </c>
      <c r="Y80" s="2">
        <f t="shared" si="99"/>
        <v>10.728960000000001</v>
      </c>
      <c r="Z80" s="2">
        <v>15.44</v>
      </c>
      <c r="AA80" s="2">
        <f t="shared" si="100"/>
        <v>10.192512000000001</v>
      </c>
      <c r="AB80" s="2">
        <f t="shared" si="101"/>
        <v>10.192512000000001</v>
      </c>
      <c r="AC80" s="2">
        <f t="shared" si="102"/>
        <v>10.728960000000001</v>
      </c>
      <c r="AD80" s="1">
        <f t="shared" si="103"/>
        <v>11.265408000000001</v>
      </c>
      <c r="AE80" s="2">
        <f t="shared" si="104"/>
        <v>10.728960000000001</v>
      </c>
      <c r="AF80" s="2">
        <f t="shared" si="105"/>
        <v>10.728960000000001</v>
      </c>
      <c r="AG80" s="2">
        <f t="shared" si="106"/>
        <v>9.8706432000000017</v>
      </c>
      <c r="AH80" s="1">
        <f t="shared" si="60"/>
        <v>44.351999999999997</v>
      </c>
      <c r="AI80" s="2">
        <f t="shared" si="89"/>
        <v>10.728960000000001</v>
      </c>
      <c r="AJ80" s="2">
        <f t="shared" si="123"/>
        <v>10.728960000000001</v>
      </c>
      <c r="AK80" s="1">
        <f t="shared" si="107"/>
        <v>14.591385600000002</v>
      </c>
      <c r="AL80" s="2">
        <f t="shared" si="108"/>
        <v>10.728960000000001</v>
      </c>
      <c r="AM80" s="2">
        <f t="shared" si="109"/>
        <v>10.728960000000001</v>
      </c>
      <c r="AN80" s="1">
        <f t="shared" si="110"/>
        <v>10.728960000000001</v>
      </c>
      <c r="AO80" s="1">
        <f t="shared" si="111"/>
        <v>10.728960000000001</v>
      </c>
      <c r="AP80" s="2">
        <f t="shared" si="112"/>
        <v>9.2920639999999999</v>
      </c>
      <c r="AQ80" s="2">
        <f t="shared" si="124"/>
        <v>10.728960000000001</v>
      </c>
      <c r="AR80" s="1">
        <f t="shared" si="67"/>
        <v>31.68</v>
      </c>
      <c r="AS80" s="2">
        <f t="shared" si="81"/>
        <v>23.230159999999998</v>
      </c>
      <c r="AT80" s="2">
        <f t="shared" si="113"/>
        <v>10.728960000000001</v>
      </c>
      <c r="AU80" s="2">
        <v>13.378543200000003</v>
      </c>
      <c r="AV80" s="2">
        <f t="shared" si="127"/>
        <v>10.2212704</v>
      </c>
      <c r="AW80" s="2">
        <f t="shared" si="114"/>
        <v>10.728960000000001</v>
      </c>
      <c r="AX80" s="1">
        <f t="shared" si="129"/>
        <v>10.192512000000001</v>
      </c>
      <c r="AY80" s="2" t="str">
        <f t="shared" si="115"/>
        <v>9.44 Per Unit</v>
      </c>
      <c r="AZ80" s="2">
        <f t="shared" si="116"/>
        <v>10.728960000000001</v>
      </c>
      <c r="BA80" s="2">
        <f t="shared" si="82"/>
        <v>10.728960000000001</v>
      </c>
      <c r="BB80" s="2">
        <f t="shared" si="83"/>
        <v>10.728960000000001</v>
      </c>
      <c r="BC80" s="2">
        <f t="shared" si="84"/>
        <v>10.728960000000001</v>
      </c>
      <c r="BD80" s="2">
        <f t="shared" si="85"/>
        <v>11.801856000000003</v>
      </c>
      <c r="BE80" s="2">
        <f t="shared" si="86"/>
        <v>9.6560640000000006</v>
      </c>
      <c r="BF80" s="2">
        <f t="shared" si="73"/>
        <v>53.856000000000002</v>
      </c>
      <c r="BG80" s="2">
        <f t="shared" si="117"/>
        <v>10.728960000000001</v>
      </c>
      <c r="BH80" s="2" t="str">
        <f t="shared" si="118"/>
        <v>10.19 Per Unit</v>
      </c>
      <c r="BI80" s="1">
        <f t="shared" si="125"/>
        <v>12.874752000000001</v>
      </c>
      <c r="BJ80" s="2">
        <f t="shared" si="126"/>
        <v>10.728960000000001</v>
      </c>
      <c r="BK80" s="2">
        <f t="shared" si="119"/>
        <v>10.192512000000001</v>
      </c>
      <c r="BL80" s="2">
        <f t="shared" si="120"/>
        <v>10.728960000000001</v>
      </c>
      <c r="BM80" s="2">
        <v>9.5040000000000013</v>
      </c>
      <c r="BN80" s="2">
        <f t="shared" si="121"/>
        <v>10.728960000000001</v>
      </c>
      <c r="BO80" s="2">
        <f>MIN(N80:BN80:BN80)</f>
        <v>9.2920639999999999</v>
      </c>
      <c r="BP80" s="2">
        <f t="shared" si="122"/>
        <v>53.856000000000002</v>
      </c>
      <c r="BQ80" s="22"/>
    </row>
    <row r="81" spans="1:70" ht="20.100000000000001" customHeight="1" x14ac:dyDescent="0.2">
      <c r="A81" s="17">
        <f t="shared" si="128"/>
        <v>79</v>
      </c>
      <c r="B81" s="24">
        <v>80061</v>
      </c>
      <c r="C81" s="24">
        <v>3018006100</v>
      </c>
      <c r="D81" s="26" t="s">
        <v>151</v>
      </c>
      <c r="E81" s="18" t="s">
        <v>103</v>
      </c>
      <c r="F81" s="33">
        <v>80.34</v>
      </c>
      <c r="G81" s="24">
        <v>301</v>
      </c>
      <c r="H81" s="12">
        <v>0</v>
      </c>
      <c r="I81" s="24">
        <v>0</v>
      </c>
      <c r="J81" s="2">
        <f t="shared" si="92"/>
        <v>17.685512000000003</v>
      </c>
      <c r="K81" s="21" t="s">
        <v>104</v>
      </c>
      <c r="L81" s="2">
        <v>13.604240000000001</v>
      </c>
      <c r="M81" s="2">
        <v>11.555002</v>
      </c>
      <c r="N81" s="1">
        <f>16.02*1.8</f>
        <v>28.835999999999999</v>
      </c>
      <c r="O81" s="2">
        <f t="shared" si="93"/>
        <v>13.604240000000001</v>
      </c>
      <c r="P81" s="1">
        <f t="shared" si="47"/>
        <v>52.221000000000004</v>
      </c>
      <c r="Q81" s="2">
        <f t="shared" si="94"/>
        <v>13.604240000000001</v>
      </c>
      <c r="R81" s="1">
        <f t="shared" si="95"/>
        <v>14.964664000000003</v>
      </c>
      <c r="S81" s="2">
        <f t="shared" si="96"/>
        <v>13.604240000000001</v>
      </c>
      <c r="T81" s="2">
        <v>21.101301000000003</v>
      </c>
      <c r="U81" s="1"/>
      <c r="V81" s="1">
        <v>46.46</v>
      </c>
      <c r="W81" s="2">
        <f t="shared" si="97"/>
        <v>13.604240000000001</v>
      </c>
      <c r="X81" s="2">
        <f t="shared" si="98"/>
        <v>13.604240000000001</v>
      </c>
      <c r="Y81" s="2">
        <f t="shared" si="99"/>
        <v>13.604240000000001</v>
      </c>
      <c r="Z81" s="2">
        <v>19.579999999999998</v>
      </c>
      <c r="AA81" s="2">
        <f t="shared" si="100"/>
        <v>12.924028</v>
      </c>
      <c r="AB81" s="2">
        <f t="shared" si="101"/>
        <v>12.924028</v>
      </c>
      <c r="AC81" s="2">
        <f t="shared" si="102"/>
        <v>13.604240000000001</v>
      </c>
      <c r="AD81" s="1">
        <f t="shared" si="103"/>
        <v>14.284452000000002</v>
      </c>
      <c r="AE81" s="2">
        <f t="shared" si="104"/>
        <v>13.604240000000001</v>
      </c>
      <c r="AF81" s="2">
        <f t="shared" si="105"/>
        <v>13.604240000000001</v>
      </c>
      <c r="AG81" s="2">
        <f t="shared" si="106"/>
        <v>12.515900800000001</v>
      </c>
      <c r="AH81" s="1">
        <f t="shared" si="60"/>
        <v>56.238</v>
      </c>
      <c r="AI81" s="2">
        <f t="shared" si="89"/>
        <v>13.604240000000001</v>
      </c>
      <c r="AJ81" s="2">
        <f t="shared" si="123"/>
        <v>13.604240000000001</v>
      </c>
      <c r="AK81" s="1">
        <f t="shared" si="107"/>
        <v>18.501766400000001</v>
      </c>
      <c r="AL81" s="2">
        <f t="shared" si="108"/>
        <v>13.604240000000001</v>
      </c>
      <c r="AM81" s="2">
        <f t="shared" si="109"/>
        <v>13.604240000000001</v>
      </c>
      <c r="AN81" s="1">
        <f t="shared" si="110"/>
        <v>13.604240000000001</v>
      </c>
      <c r="AO81" s="1">
        <f t="shared" si="111"/>
        <v>13.604240000000001</v>
      </c>
      <c r="AP81" s="2">
        <f t="shared" si="112"/>
        <v>11.555002</v>
      </c>
      <c r="AQ81" s="2">
        <f t="shared" si="124"/>
        <v>13.604240000000001</v>
      </c>
      <c r="AR81" s="1">
        <f t="shared" si="67"/>
        <v>40.17</v>
      </c>
      <c r="AS81" s="2">
        <f t="shared" si="81"/>
        <v>28.887505000000001</v>
      </c>
      <c r="AT81" s="2">
        <f t="shared" si="113"/>
        <v>13.604240000000001</v>
      </c>
      <c r="AU81" s="2">
        <v>16.963891425000003</v>
      </c>
      <c r="AV81" s="2">
        <f t="shared" si="127"/>
        <v>12.710502200000001</v>
      </c>
      <c r="AW81" s="2">
        <f t="shared" si="114"/>
        <v>13.604240000000001</v>
      </c>
      <c r="AX81" s="1">
        <f t="shared" si="129"/>
        <v>12.924028</v>
      </c>
      <c r="AY81" s="2" t="str">
        <f t="shared" si="115"/>
        <v>11.97 Per Unit</v>
      </c>
      <c r="AZ81" s="2">
        <f t="shared" si="116"/>
        <v>13.604240000000001</v>
      </c>
      <c r="BA81" s="2">
        <f t="shared" si="82"/>
        <v>13.604240000000001</v>
      </c>
      <c r="BB81" s="2">
        <f t="shared" si="83"/>
        <v>13.604240000000001</v>
      </c>
      <c r="BC81" s="2">
        <f t="shared" si="84"/>
        <v>13.604240000000001</v>
      </c>
      <c r="BD81" s="2">
        <f t="shared" si="85"/>
        <v>14.964664000000003</v>
      </c>
      <c r="BE81" s="2">
        <f t="shared" si="86"/>
        <v>12.243816000000001</v>
      </c>
      <c r="BF81" s="2">
        <f t="shared" si="73"/>
        <v>68.289000000000001</v>
      </c>
      <c r="BG81" s="2">
        <f t="shared" si="117"/>
        <v>13.604240000000001</v>
      </c>
      <c r="BH81" s="2" t="str">
        <f t="shared" si="118"/>
        <v>12.92 Per Unit</v>
      </c>
      <c r="BI81" s="1">
        <f t="shared" si="125"/>
        <v>16.325088000000001</v>
      </c>
      <c r="BJ81" s="2">
        <f t="shared" si="126"/>
        <v>13.604240000000001</v>
      </c>
      <c r="BK81" s="2">
        <f t="shared" si="119"/>
        <v>12.924028</v>
      </c>
      <c r="BL81" s="2">
        <f t="shared" si="120"/>
        <v>13.604240000000001</v>
      </c>
      <c r="BM81" s="2">
        <v>12.051</v>
      </c>
      <c r="BN81" s="2">
        <f t="shared" si="121"/>
        <v>13.604240000000001</v>
      </c>
      <c r="BO81" s="2">
        <f>MIN(N81:BN81:BN81)</f>
        <v>11.555002</v>
      </c>
      <c r="BP81" s="2">
        <f t="shared" si="122"/>
        <v>68.289000000000001</v>
      </c>
      <c r="BQ81" s="22"/>
    </row>
    <row r="82" spans="1:70" ht="20.100000000000001" customHeight="1" x14ac:dyDescent="0.2">
      <c r="A82" s="17">
        <f t="shared" si="128"/>
        <v>80</v>
      </c>
      <c r="B82" s="24">
        <v>80069</v>
      </c>
      <c r="C82" s="18" t="s">
        <v>88</v>
      </c>
      <c r="D82" s="26" t="s">
        <v>152</v>
      </c>
      <c r="E82" s="18" t="s">
        <v>103</v>
      </c>
      <c r="F82" s="33">
        <v>0</v>
      </c>
      <c r="G82" s="25" t="s">
        <v>88</v>
      </c>
      <c r="H82" s="12">
        <v>0</v>
      </c>
      <c r="I82" s="24">
        <v>0</v>
      </c>
      <c r="J82" s="2">
        <v>0</v>
      </c>
      <c r="K82" s="21" t="s">
        <v>104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1"/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f t="shared" si="123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f>MIN(N82:BN82:BN82)</f>
        <v>0</v>
      </c>
      <c r="BP82" s="2">
        <f t="shared" si="122"/>
        <v>0</v>
      </c>
      <c r="BQ82" s="22"/>
    </row>
    <row r="83" spans="1:70" ht="20.100000000000001" customHeight="1" x14ac:dyDescent="0.2">
      <c r="A83" s="17">
        <f t="shared" si="128"/>
        <v>81</v>
      </c>
      <c r="B83" s="24">
        <v>80076</v>
      </c>
      <c r="C83" s="24">
        <v>3018007600</v>
      </c>
      <c r="D83" s="19" t="s">
        <v>153</v>
      </c>
      <c r="E83" s="18" t="s">
        <v>103</v>
      </c>
      <c r="F83" s="33">
        <v>49.02</v>
      </c>
      <c r="G83" s="24">
        <v>301</v>
      </c>
      <c r="H83" s="12">
        <v>0</v>
      </c>
      <c r="I83" s="24">
        <v>0</v>
      </c>
      <c r="J83" s="2">
        <f t="shared" si="92"/>
        <v>10.790936</v>
      </c>
      <c r="K83" s="21" t="s">
        <v>104</v>
      </c>
      <c r="L83" s="2">
        <v>8.3007200000000001</v>
      </c>
      <c r="M83" s="2">
        <v>6.3882940000000001</v>
      </c>
      <c r="N83" s="1">
        <f>9.77*1.8</f>
        <v>17.585999999999999</v>
      </c>
      <c r="O83" s="2">
        <f t="shared" si="93"/>
        <v>8.3007200000000001</v>
      </c>
      <c r="P83" s="1">
        <f>F83*0.65</f>
        <v>31.863000000000003</v>
      </c>
      <c r="Q83" s="2">
        <f t="shared" si="94"/>
        <v>8.3007200000000001</v>
      </c>
      <c r="R83" s="1">
        <f t="shared" si="95"/>
        <v>9.1307920000000014</v>
      </c>
      <c r="S83" s="2">
        <f t="shared" si="96"/>
        <v>8.3007200000000001</v>
      </c>
      <c r="T83" s="2">
        <v>12.879326000000001</v>
      </c>
      <c r="U83" s="1"/>
      <c r="V83" s="1">
        <v>28.35</v>
      </c>
      <c r="W83" s="2">
        <f t="shared" si="97"/>
        <v>8.3007200000000001</v>
      </c>
      <c r="X83" s="2">
        <f t="shared" si="98"/>
        <v>8.3007200000000001</v>
      </c>
      <c r="Y83" s="2">
        <f t="shared" si="99"/>
        <v>8.3007200000000001</v>
      </c>
      <c r="Z83" s="2">
        <v>11.96</v>
      </c>
      <c r="AA83" s="2">
        <f t="shared" si="100"/>
        <v>7.8856839999999995</v>
      </c>
      <c r="AB83" s="2">
        <f t="shared" si="101"/>
        <v>7.8856839999999995</v>
      </c>
      <c r="AC83" s="2">
        <f t="shared" si="102"/>
        <v>8.3007200000000001</v>
      </c>
      <c r="AD83" s="1">
        <f t="shared" si="103"/>
        <v>8.7157560000000007</v>
      </c>
      <c r="AE83" s="2">
        <f t="shared" si="104"/>
        <v>8.3007200000000001</v>
      </c>
      <c r="AF83" s="2">
        <f t="shared" si="105"/>
        <v>8.3007200000000001</v>
      </c>
      <c r="AG83" s="2">
        <f t="shared" si="106"/>
        <v>7.6366624000000005</v>
      </c>
      <c r="AH83" s="1">
        <f>F83*0.7</f>
        <v>34.314</v>
      </c>
      <c r="AI83" s="2">
        <f t="shared" si="89"/>
        <v>8.3007200000000001</v>
      </c>
      <c r="AJ83" s="2">
        <f t="shared" si="123"/>
        <v>8.3007200000000001</v>
      </c>
      <c r="AK83" s="1">
        <f t="shared" si="107"/>
        <v>11.288979200000002</v>
      </c>
      <c r="AL83" s="2">
        <f t="shared" si="108"/>
        <v>8.3007200000000001</v>
      </c>
      <c r="AM83" s="2">
        <f t="shared" si="109"/>
        <v>8.3007200000000001</v>
      </c>
      <c r="AN83" s="1">
        <f t="shared" si="110"/>
        <v>8.3007200000000001</v>
      </c>
      <c r="AO83" s="1">
        <f t="shared" si="111"/>
        <v>8.3007200000000001</v>
      </c>
      <c r="AP83" s="2">
        <f t="shared" si="112"/>
        <v>6.3882940000000001</v>
      </c>
      <c r="AQ83" s="2">
        <f t="shared" si="124"/>
        <v>8.3007200000000001</v>
      </c>
      <c r="AR83" s="1">
        <f>F83*0.5</f>
        <v>24.51</v>
      </c>
      <c r="AS83" s="2">
        <f t="shared" si="81"/>
        <v>15.970735000000001</v>
      </c>
      <c r="AT83" s="2">
        <f t="shared" si="113"/>
        <v>8.3007200000000001</v>
      </c>
      <c r="AU83" s="2">
        <v>10.350634275000003</v>
      </c>
      <c r="AV83" s="2">
        <f t="shared" si="127"/>
        <v>7.0271234000000007</v>
      </c>
      <c r="AW83" s="2">
        <f t="shared" si="114"/>
        <v>8.3007200000000001</v>
      </c>
      <c r="AX83" s="1">
        <f t="shared" si="129"/>
        <v>7.8856839999999995</v>
      </c>
      <c r="AY83" s="2" t="str">
        <f t="shared" si="115"/>
        <v>7.3 Per Unit</v>
      </c>
      <c r="AZ83" s="2">
        <f t="shared" si="116"/>
        <v>8.3007200000000001</v>
      </c>
      <c r="BA83" s="2">
        <f t="shared" si="82"/>
        <v>8.3007200000000001</v>
      </c>
      <c r="BB83" s="2">
        <f t="shared" si="83"/>
        <v>8.3007200000000001</v>
      </c>
      <c r="BC83" s="2">
        <f t="shared" si="84"/>
        <v>8.3007200000000001</v>
      </c>
      <c r="BD83" s="2">
        <f t="shared" si="85"/>
        <v>9.1307920000000014</v>
      </c>
      <c r="BE83" s="2">
        <f t="shared" si="86"/>
        <v>7.4706480000000006</v>
      </c>
      <c r="BF83" s="2">
        <f>F83*0.85</f>
        <v>41.667000000000002</v>
      </c>
      <c r="BG83" s="2">
        <f t="shared" si="117"/>
        <v>8.3007200000000001</v>
      </c>
      <c r="BH83" s="2" t="str">
        <f t="shared" si="118"/>
        <v>7.89 Per Unit</v>
      </c>
      <c r="BI83" s="1">
        <f t="shared" si="125"/>
        <v>9.9608639999999991</v>
      </c>
      <c r="BJ83" s="2">
        <f t="shared" si="126"/>
        <v>8.3007200000000001</v>
      </c>
      <c r="BK83" s="2">
        <f t="shared" si="119"/>
        <v>7.8856839999999995</v>
      </c>
      <c r="BL83" s="2">
        <f t="shared" si="120"/>
        <v>8.3007200000000001</v>
      </c>
      <c r="BM83" s="2">
        <v>7.3529999999999998</v>
      </c>
      <c r="BN83" s="2">
        <f t="shared" si="121"/>
        <v>8.3007200000000001</v>
      </c>
      <c r="BO83" s="2">
        <f>MIN(N83:BN83:BN83)</f>
        <v>6.3882940000000001</v>
      </c>
      <c r="BP83" s="2">
        <f t="shared" si="122"/>
        <v>41.667000000000002</v>
      </c>
      <c r="BQ83" s="22"/>
    </row>
    <row r="84" spans="1:70" ht="20.100000000000001" customHeight="1" x14ac:dyDescent="0.2">
      <c r="A84" s="17">
        <f t="shared" si="128"/>
        <v>82</v>
      </c>
      <c r="B84" s="24">
        <v>81000</v>
      </c>
      <c r="C84" s="18" t="s">
        <v>88</v>
      </c>
      <c r="D84" s="26" t="s">
        <v>154</v>
      </c>
      <c r="E84" s="18" t="s">
        <v>103</v>
      </c>
      <c r="F84" s="9">
        <v>0</v>
      </c>
      <c r="G84" s="25" t="s">
        <v>88</v>
      </c>
      <c r="H84" s="12">
        <v>0</v>
      </c>
      <c r="I84" s="24">
        <v>0</v>
      </c>
      <c r="J84" s="2">
        <v>0</v>
      </c>
      <c r="K84" s="21" t="s">
        <v>104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"/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2">
        <f t="shared" si="123"/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2">
        <f>MIN(N84:BN84:BN84)</f>
        <v>0</v>
      </c>
      <c r="BP84" s="2">
        <f t="shared" si="122"/>
        <v>0</v>
      </c>
      <c r="BQ84" s="22"/>
    </row>
    <row r="85" spans="1:70" ht="20.100000000000001" customHeight="1" x14ac:dyDescent="0.2">
      <c r="A85" s="17">
        <f t="shared" si="128"/>
        <v>83</v>
      </c>
      <c r="B85" s="24">
        <v>81001</v>
      </c>
      <c r="C85" s="24">
        <v>3078100100</v>
      </c>
      <c r="D85" s="19" t="s">
        <v>155</v>
      </c>
      <c r="E85" s="18" t="s">
        <v>103</v>
      </c>
      <c r="F85" s="33">
        <v>19.02</v>
      </c>
      <c r="G85" s="24">
        <v>307</v>
      </c>
      <c r="H85" s="12">
        <v>0</v>
      </c>
      <c r="I85" s="24">
        <v>0</v>
      </c>
      <c r="J85" s="2">
        <f t="shared" si="92"/>
        <v>4.1869360000000002</v>
      </c>
      <c r="K85" s="21" t="s">
        <v>104</v>
      </c>
      <c r="L85" s="2">
        <v>3.22072</v>
      </c>
      <c r="M85" s="2">
        <v>2.7736010000000002</v>
      </c>
      <c r="N85" s="1">
        <f>3.78*1.8</f>
        <v>6.8039999999999994</v>
      </c>
      <c r="O85" s="2">
        <f t="shared" si="93"/>
        <v>3.22072</v>
      </c>
      <c r="P85" s="1">
        <f t="shared" ref="P85:P111" si="130">F85*0.65</f>
        <v>12.363</v>
      </c>
      <c r="Q85" s="2">
        <f t="shared" si="94"/>
        <v>3.22072</v>
      </c>
      <c r="R85" s="1">
        <f t="shared" si="95"/>
        <v>3.5427920000000004</v>
      </c>
      <c r="S85" s="2">
        <f t="shared" si="96"/>
        <v>3.22072</v>
      </c>
      <c r="T85" s="2">
        <v>4.8164860000000012</v>
      </c>
      <c r="U85" s="1"/>
      <c r="V85" s="1">
        <v>11</v>
      </c>
      <c r="W85" s="2">
        <f t="shared" si="97"/>
        <v>3.22072</v>
      </c>
      <c r="X85" s="2">
        <f t="shared" si="98"/>
        <v>3.22072</v>
      </c>
      <c r="Y85" s="2">
        <f t="shared" si="99"/>
        <v>3.22072</v>
      </c>
      <c r="Z85" s="2">
        <v>4.6399999999999997</v>
      </c>
      <c r="AA85" s="2">
        <f t="shared" si="100"/>
        <v>3.0596839999999998</v>
      </c>
      <c r="AB85" s="2">
        <f t="shared" si="101"/>
        <v>3.0596839999999998</v>
      </c>
      <c r="AC85" s="2">
        <f t="shared" si="102"/>
        <v>3.22072</v>
      </c>
      <c r="AD85" s="1">
        <f t="shared" si="103"/>
        <v>3.3817560000000002</v>
      </c>
      <c r="AE85" s="2">
        <f t="shared" si="104"/>
        <v>3.22072</v>
      </c>
      <c r="AF85" s="2">
        <f t="shared" si="105"/>
        <v>3.22072</v>
      </c>
      <c r="AG85" s="2">
        <f t="shared" si="106"/>
        <v>2.9630624000000001</v>
      </c>
      <c r="AH85" s="1">
        <f t="shared" ref="AH85:AH111" si="131">F85*0.7</f>
        <v>13.313999999999998</v>
      </c>
      <c r="AI85" s="2">
        <f t="shared" si="89"/>
        <v>3.22072</v>
      </c>
      <c r="AJ85" s="2">
        <f t="shared" si="123"/>
        <v>3.22072</v>
      </c>
      <c r="AK85" s="1">
        <f t="shared" si="107"/>
        <v>4.3801792000000006</v>
      </c>
      <c r="AL85" s="2">
        <f t="shared" si="108"/>
        <v>3.22072</v>
      </c>
      <c r="AM85" s="2">
        <f t="shared" si="109"/>
        <v>3.22072</v>
      </c>
      <c r="AN85" s="1">
        <f t="shared" si="110"/>
        <v>3.22072</v>
      </c>
      <c r="AO85" s="1">
        <f t="shared" si="111"/>
        <v>3.22072</v>
      </c>
      <c r="AP85" s="2">
        <f t="shared" si="112"/>
        <v>2.7736010000000002</v>
      </c>
      <c r="AQ85" s="2">
        <f t="shared" si="124"/>
        <v>3.22072</v>
      </c>
      <c r="AR85" s="1">
        <f t="shared" ref="AR85:AR111" si="132">F85*0.5</f>
        <v>9.51</v>
      </c>
      <c r="AS85" s="2">
        <f t="shared" si="81"/>
        <v>6.9340025000000001</v>
      </c>
      <c r="AT85" s="2">
        <f t="shared" si="113"/>
        <v>3.22072</v>
      </c>
      <c r="AU85" s="2">
        <v>4.0160967750000003</v>
      </c>
      <c r="AV85" s="2">
        <f t="shared" si="127"/>
        <v>3.0509611000000003</v>
      </c>
      <c r="AW85" s="2">
        <f t="shared" si="114"/>
        <v>3.22072</v>
      </c>
      <c r="AX85" s="1">
        <f t="shared" si="129"/>
        <v>3.0596839999999998</v>
      </c>
      <c r="AY85" s="2" t="str">
        <f t="shared" si="115"/>
        <v>2.83 Per Unit</v>
      </c>
      <c r="AZ85" s="2">
        <f t="shared" si="116"/>
        <v>3.22072</v>
      </c>
      <c r="BA85" s="2">
        <f t="shared" si="82"/>
        <v>3.22072</v>
      </c>
      <c r="BB85" s="2">
        <f t="shared" si="83"/>
        <v>3.22072</v>
      </c>
      <c r="BC85" s="2">
        <f t="shared" si="84"/>
        <v>3.22072</v>
      </c>
      <c r="BD85" s="2">
        <f t="shared" si="85"/>
        <v>3.5427920000000004</v>
      </c>
      <c r="BE85" s="2">
        <f t="shared" si="86"/>
        <v>2.8986480000000001</v>
      </c>
      <c r="BF85" s="2">
        <f t="shared" ref="BF85:BF111" si="133">F85*0.85</f>
        <v>16.166999999999998</v>
      </c>
      <c r="BG85" s="2">
        <f t="shared" si="117"/>
        <v>3.22072</v>
      </c>
      <c r="BH85" s="2" t="str">
        <f t="shared" si="118"/>
        <v>3.06 Per Unit</v>
      </c>
      <c r="BI85" s="1">
        <f t="shared" si="125"/>
        <v>3.8648639999999999</v>
      </c>
      <c r="BJ85" s="2">
        <f t="shared" si="126"/>
        <v>3.22072</v>
      </c>
      <c r="BK85" s="2">
        <f t="shared" si="119"/>
        <v>3.0596839999999998</v>
      </c>
      <c r="BL85" s="2">
        <f t="shared" si="120"/>
        <v>3.22072</v>
      </c>
      <c r="BM85" s="2">
        <v>2.8530000000000002</v>
      </c>
      <c r="BN85" s="2">
        <f t="shared" si="121"/>
        <v>3.22072</v>
      </c>
      <c r="BO85" s="2">
        <f>MIN(N85:BN85:BN85)</f>
        <v>2.7736010000000002</v>
      </c>
      <c r="BP85" s="2">
        <f t="shared" si="122"/>
        <v>16.166999999999998</v>
      </c>
      <c r="BQ85" s="22"/>
    </row>
    <row r="86" spans="1:70" ht="20.100000000000001" customHeight="1" x14ac:dyDescent="0.2">
      <c r="A86" s="17">
        <f t="shared" si="128"/>
        <v>84</v>
      </c>
      <c r="B86" s="24">
        <v>81003</v>
      </c>
      <c r="C86" s="24">
        <v>3078100300</v>
      </c>
      <c r="D86" s="26" t="s">
        <v>156</v>
      </c>
      <c r="E86" s="18" t="s">
        <v>103</v>
      </c>
      <c r="F86" s="33">
        <v>13.5</v>
      </c>
      <c r="G86" s="24">
        <v>307</v>
      </c>
      <c r="H86" s="12">
        <v>0</v>
      </c>
      <c r="I86" s="24">
        <v>0</v>
      </c>
      <c r="J86" s="2">
        <f t="shared" si="92"/>
        <v>2.9718</v>
      </c>
      <c r="K86" s="21" t="s">
        <v>104</v>
      </c>
      <c r="L86" s="2">
        <v>2.286</v>
      </c>
      <c r="M86" s="2">
        <v>1.9625480000000002</v>
      </c>
      <c r="N86" s="1">
        <f>2.69*1.8</f>
        <v>4.8419999999999996</v>
      </c>
      <c r="O86" s="2">
        <f t="shared" si="93"/>
        <v>2.286</v>
      </c>
      <c r="P86" s="1">
        <f t="shared" si="130"/>
        <v>8.7750000000000004</v>
      </c>
      <c r="Q86" s="2">
        <f t="shared" si="94"/>
        <v>2.286</v>
      </c>
      <c r="R86" s="1">
        <f t="shared" si="95"/>
        <v>2.5146000000000002</v>
      </c>
      <c r="S86" s="2">
        <f t="shared" si="96"/>
        <v>2.286</v>
      </c>
      <c r="T86" s="2">
        <v>3.5434060000000001</v>
      </c>
      <c r="U86" s="1"/>
      <c r="V86" s="1">
        <v>7.81</v>
      </c>
      <c r="W86" s="2">
        <f t="shared" si="97"/>
        <v>2.286</v>
      </c>
      <c r="X86" s="2">
        <f t="shared" si="98"/>
        <v>2.286</v>
      </c>
      <c r="Y86" s="2">
        <f t="shared" si="99"/>
        <v>2.286</v>
      </c>
      <c r="Z86" s="2">
        <v>3.29</v>
      </c>
      <c r="AA86" s="2">
        <f t="shared" si="100"/>
        <v>2.1717</v>
      </c>
      <c r="AB86" s="2">
        <f t="shared" si="101"/>
        <v>2.1717</v>
      </c>
      <c r="AC86" s="2">
        <f t="shared" si="102"/>
        <v>2.286</v>
      </c>
      <c r="AD86" s="1">
        <f t="shared" si="103"/>
        <v>2.4003000000000001</v>
      </c>
      <c r="AE86" s="2">
        <f t="shared" si="104"/>
        <v>2.286</v>
      </c>
      <c r="AF86" s="2">
        <f t="shared" si="105"/>
        <v>2.286</v>
      </c>
      <c r="AG86" s="2">
        <f t="shared" si="106"/>
        <v>2.1031200000000001</v>
      </c>
      <c r="AH86" s="1">
        <f t="shared" si="131"/>
        <v>9.4499999999999993</v>
      </c>
      <c r="AI86" s="2">
        <f t="shared" si="89"/>
        <v>2.286</v>
      </c>
      <c r="AJ86" s="2">
        <f t="shared" si="123"/>
        <v>2.286</v>
      </c>
      <c r="AK86" s="1">
        <f t="shared" si="107"/>
        <v>3.1089600000000002</v>
      </c>
      <c r="AL86" s="2">
        <f t="shared" si="108"/>
        <v>2.286</v>
      </c>
      <c r="AM86" s="2">
        <f t="shared" si="109"/>
        <v>2.286</v>
      </c>
      <c r="AN86" s="1">
        <f t="shared" si="110"/>
        <v>2.286</v>
      </c>
      <c r="AO86" s="1">
        <f t="shared" si="111"/>
        <v>2.286</v>
      </c>
      <c r="AP86" s="2">
        <f t="shared" si="112"/>
        <v>1.9625480000000002</v>
      </c>
      <c r="AQ86" s="2">
        <f t="shared" si="124"/>
        <v>2.286</v>
      </c>
      <c r="AR86" s="1">
        <f t="shared" si="132"/>
        <v>6.75</v>
      </c>
      <c r="AS86" s="2">
        <f t="shared" si="81"/>
        <v>4.9063700000000008</v>
      </c>
      <c r="AT86" s="2">
        <f t="shared" si="113"/>
        <v>2.286</v>
      </c>
      <c r="AU86" s="2">
        <v>2.8505418750000007</v>
      </c>
      <c r="AV86" s="2">
        <f t="shared" si="127"/>
        <v>2.1588028000000006</v>
      </c>
      <c r="AW86" s="2">
        <f t="shared" si="114"/>
        <v>2.286</v>
      </c>
      <c r="AX86" s="1">
        <f t="shared" si="129"/>
        <v>2.1717</v>
      </c>
      <c r="AY86" s="2" t="str">
        <f t="shared" si="115"/>
        <v>2.01 Per Unit</v>
      </c>
      <c r="AZ86" s="2">
        <f t="shared" si="116"/>
        <v>2.286</v>
      </c>
      <c r="BA86" s="2">
        <f t="shared" si="82"/>
        <v>2.286</v>
      </c>
      <c r="BB86" s="2">
        <f t="shared" si="83"/>
        <v>2.286</v>
      </c>
      <c r="BC86" s="2">
        <f t="shared" si="84"/>
        <v>2.286</v>
      </c>
      <c r="BD86" s="2">
        <f t="shared" si="85"/>
        <v>2.5146000000000002</v>
      </c>
      <c r="BE86" s="2">
        <f t="shared" si="86"/>
        <v>2.0573999999999999</v>
      </c>
      <c r="BF86" s="2">
        <f t="shared" si="133"/>
        <v>11.475</v>
      </c>
      <c r="BG86" s="2">
        <f t="shared" si="117"/>
        <v>2.286</v>
      </c>
      <c r="BH86" s="2" t="str">
        <f t="shared" si="118"/>
        <v>2.17 Per Unit</v>
      </c>
      <c r="BI86" s="1">
        <f t="shared" si="125"/>
        <v>2.7431999999999999</v>
      </c>
      <c r="BJ86" s="2">
        <f t="shared" si="126"/>
        <v>2.286</v>
      </c>
      <c r="BK86" s="2">
        <f t="shared" si="119"/>
        <v>2.1717</v>
      </c>
      <c r="BL86" s="2">
        <f t="shared" si="120"/>
        <v>2.286</v>
      </c>
      <c r="BM86" s="2">
        <v>2.0249999999999999</v>
      </c>
      <c r="BN86" s="2">
        <f t="shared" si="121"/>
        <v>2.286</v>
      </c>
      <c r="BO86" s="2">
        <f>MIN(N86:BN86:BN86)</f>
        <v>1.9625480000000002</v>
      </c>
      <c r="BP86" s="2">
        <f t="shared" si="122"/>
        <v>11.475</v>
      </c>
      <c r="BQ86" s="22"/>
    </row>
    <row r="87" spans="1:70" ht="20.100000000000001" customHeight="1" x14ac:dyDescent="0.2">
      <c r="A87" s="17">
        <f t="shared" si="128"/>
        <v>85</v>
      </c>
      <c r="B87" s="24">
        <v>84153</v>
      </c>
      <c r="C87" s="24">
        <v>3018415300</v>
      </c>
      <c r="D87" s="26" t="s">
        <v>157</v>
      </c>
      <c r="E87" s="18" t="s">
        <v>103</v>
      </c>
      <c r="F87" s="33">
        <v>110.34</v>
      </c>
      <c r="G87" s="24">
        <v>301</v>
      </c>
      <c r="H87" s="12">
        <v>0</v>
      </c>
      <c r="I87" s="24">
        <v>0</v>
      </c>
      <c r="J87" s="2">
        <f t="shared" si="92"/>
        <v>24.289511999999998</v>
      </c>
      <c r="K87" s="21" t="s">
        <v>104</v>
      </c>
      <c r="L87" s="2">
        <v>18.684239999999999</v>
      </c>
      <c r="M87" s="2">
        <v>16.371255000000001</v>
      </c>
      <c r="N87" s="11">
        <f>22.01*1.8</f>
        <v>39.618000000000002</v>
      </c>
      <c r="O87" s="2">
        <f t="shared" si="93"/>
        <v>18.684239999999999</v>
      </c>
      <c r="P87" s="1">
        <f t="shared" si="130"/>
        <v>71.721000000000004</v>
      </c>
      <c r="Q87" s="2">
        <f t="shared" si="94"/>
        <v>18.684239999999999</v>
      </c>
      <c r="R87" s="1">
        <f t="shared" si="95"/>
        <v>20.552664</v>
      </c>
      <c r="S87" s="2">
        <f t="shared" si="96"/>
        <v>18.684239999999999</v>
      </c>
      <c r="T87" s="2">
        <v>28.983788000000001</v>
      </c>
      <c r="U87" s="1"/>
      <c r="V87" s="1">
        <v>63.81</v>
      </c>
      <c r="W87" s="2">
        <f t="shared" si="97"/>
        <v>18.684239999999999</v>
      </c>
      <c r="X87" s="2">
        <f t="shared" si="98"/>
        <v>18.684239999999999</v>
      </c>
      <c r="Y87" s="2">
        <f t="shared" si="99"/>
        <v>18.684239999999999</v>
      </c>
      <c r="Z87" s="2">
        <v>26.9</v>
      </c>
      <c r="AA87" s="2">
        <f t="shared" si="100"/>
        <v>17.750027999999997</v>
      </c>
      <c r="AB87" s="2">
        <f t="shared" si="101"/>
        <v>17.750027999999997</v>
      </c>
      <c r="AC87" s="2">
        <f t="shared" si="102"/>
        <v>18.684239999999999</v>
      </c>
      <c r="AD87" s="1">
        <f t="shared" si="103"/>
        <v>19.618452000000001</v>
      </c>
      <c r="AE87" s="2">
        <f t="shared" si="104"/>
        <v>18.684239999999999</v>
      </c>
      <c r="AF87" s="2">
        <f t="shared" si="105"/>
        <v>18.684239999999999</v>
      </c>
      <c r="AG87" s="2">
        <f t="shared" si="106"/>
        <v>17.189500800000001</v>
      </c>
      <c r="AH87" s="1">
        <f t="shared" si="131"/>
        <v>77.238</v>
      </c>
      <c r="AI87" s="2">
        <f t="shared" si="89"/>
        <v>18.684239999999999</v>
      </c>
      <c r="AJ87" s="2">
        <f t="shared" si="123"/>
        <v>18.684239999999999</v>
      </c>
      <c r="AK87" s="1">
        <f t="shared" si="107"/>
        <v>25.4105664</v>
      </c>
      <c r="AL87" s="2">
        <f t="shared" si="108"/>
        <v>18.684239999999999</v>
      </c>
      <c r="AM87" s="2">
        <f t="shared" si="109"/>
        <v>18.684239999999999</v>
      </c>
      <c r="AN87" s="1">
        <f t="shared" si="110"/>
        <v>18.684239999999999</v>
      </c>
      <c r="AO87" s="1">
        <f t="shared" si="111"/>
        <v>18.684239999999999</v>
      </c>
      <c r="AP87" s="2">
        <f t="shared" si="112"/>
        <v>16.371255000000001</v>
      </c>
      <c r="AQ87" s="2">
        <f t="shared" si="124"/>
        <v>18.684239999999999</v>
      </c>
      <c r="AR87" s="1">
        <f t="shared" si="132"/>
        <v>55.17</v>
      </c>
      <c r="AS87" s="2">
        <f t="shared" si="81"/>
        <v>40.928137500000005</v>
      </c>
      <c r="AT87" s="2">
        <f t="shared" si="113"/>
        <v>18.684239999999999</v>
      </c>
      <c r="AU87" s="2">
        <v>23.298428925000003</v>
      </c>
      <c r="AV87" s="2">
        <f t="shared" si="127"/>
        <v>18.008380500000005</v>
      </c>
      <c r="AW87" s="2">
        <f t="shared" si="114"/>
        <v>18.684239999999999</v>
      </c>
      <c r="AX87" s="1">
        <f t="shared" si="129"/>
        <v>17.750027999999997</v>
      </c>
      <c r="AY87" s="2" t="str">
        <f t="shared" si="115"/>
        <v>16.44 Per Unit</v>
      </c>
      <c r="AZ87" s="2">
        <f t="shared" si="116"/>
        <v>18.684239999999999</v>
      </c>
      <c r="BA87" s="2">
        <f t="shared" si="82"/>
        <v>18.684239999999999</v>
      </c>
      <c r="BB87" s="2">
        <f t="shared" si="83"/>
        <v>18.684239999999999</v>
      </c>
      <c r="BC87" s="2">
        <f t="shared" si="84"/>
        <v>18.684239999999999</v>
      </c>
      <c r="BD87" s="2">
        <f t="shared" si="85"/>
        <v>20.552664</v>
      </c>
      <c r="BE87" s="2">
        <f t="shared" si="86"/>
        <v>16.815815999999998</v>
      </c>
      <c r="BF87" s="2">
        <f t="shared" si="133"/>
        <v>93.789000000000001</v>
      </c>
      <c r="BG87" s="2">
        <f t="shared" si="117"/>
        <v>18.684239999999999</v>
      </c>
      <c r="BH87" s="2" t="str">
        <f t="shared" si="118"/>
        <v>17.75 Per Unit</v>
      </c>
      <c r="BI87" s="1">
        <f t="shared" si="125"/>
        <v>22.421087999999997</v>
      </c>
      <c r="BJ87" s="2">
        <f t="shared" si="126"/>
        <v>18.684239999999999</v>
      </c>
      <c r="BK87" s="2">
        <f t="shared" si="119"/>
        <v>17.750027999999997</v>
      </c>
      <c r="BL87" s="2">
        <f t="shared" si="120"/>
        <v>18.684239999999999</v>
      </c>
      <c r="BM87" s="2">
        <v>16.551000000000002</v>
      </c>
      <c r="BN87" s="2">
        <f t="shared" si="121"/>
        <v>18.684239999999999</v>
      </c>
      <c r="BO87" s="2">
        <f>MIN(N87:BN87:BN87)</f>
        <v>16.371255000000001</v>
      </c>
      <c r="BP87" s="2">
        <f t="shared" si="122"/>
        <v>93.789000000000001</v>
      </c>
      <c r="BQ87" s="22"/>
    </row>
    <row r="88" spans="1:70" ht="20.100000000000001" customHeight="1" x14ac:dyDescent="0.2">
      <c r="A88" s="17">
        <f t="shared" si="128"/>
        <v>86</v>
      </c>
      <c r="B88" s="24">
        <v>84443</v>
      </c>
      <c r="C88" s="24">
        <v>3018444300</v>
      </c>
      <c r="D88" s="19" t="s">
        <v>158</v>
      </c>
      <c r="E88" s="18" t="s">
        <v>103</v>
      </c>
      <c r="F88" s="33">
        <v>100.8</v>
      </c>
      <c r="G88" s="24">
        <v>301</v>
      </c>
      <c r="H88" s="12">
        <v>0</v>
      </c>
      <c r="I88" s="24">
        <v>0</v>
      </c>
      <c r="J88" s="2">
        <f t="shared" si="92"/>
        <v>22.189440000000001</v>
      </c>
      <c r="K88" s="21" t="s">
        <v>104</v>
      </c>
      <c r="L88" s="2">
        <v>17.0688</v>
      </c>
      <c r="M88" s="2">
        <v>14.779188000000001</v>
      </c>
      <c r="N88" s="1">
        <f>20.09*1.8</f>
        <v>36.161999999999999</v>
      </c>
      <c r="O88" s="2">
        <f t="shared" si="93"/>
        <v>17.0688</v>
      </c>
      <c r="P88" s="1">
        <f t="shared" si="130"/>
        <v>65.52</v>
      </c>
      <c r="Q88" s="2">
        <f t="shared" si="94"/>
        <v>17.0688</v>
      </c>
      <c r="R88" s="1">
        <f t="shared" si="95"/>
        <v>18.775680000000001</v>
      </c>
      <c r="S88" s="2">
        <f t="shared" si="96"/>
        <v>17.0688</v>
      </c>
      <c r="T88" s="2">
        <v>26.480064000000002</v>
      </c>
      <c r="U88" s="1"/>
      <c r="V88" s="1">
        <v>58.3</v>
      </c>
      <c r="W88" s="2">
        <f t="shared" si="97"/>
        <v>17.0688</v>
      </c>
      <c r="X88" s="2">
        <f t="shared" si="98"/>
        <v>17.0688</v>
      </c>
      <c r="Y88" s="2">
        <f t="shared" si="99"/>
        <v>17.0688</v>
      </c>
      <c r="Z88" s="2">
        <v>24.57</v>
      </c>
      <c r="AA88" s="2">
        <f t="shared" si="100"/>
        <v>16.21536</v>
      </c>
      <c r="AB88" s="2">
        <f t="shared" si="101"/>
        <v>16.21536</v>
      </c>
      <c r="AC88" s="2">
        <f t="shared" si="102"/>
        <v>17.0688</v>
      </c>
      <c r="AD88" s="1">
        <f t="shared" si="103"/>
        <v>17.922239999999999</v>
      </c>
      <c r="AE88" s="2">
        <f t="shared" si="104"/>
        <v>17.0688</v>
      </c>
      <c r="AF88" s="2">
        <f t="shared" si="105"/>
        <v>17.0688</v>
      </c>
      <c r="AG88" s="2">
        <f t="shared" si="106"/>
        <v>15.703296</v>
      </c>
      <c r="AH88" s="1">
        <f t="shared" si="131"/>
        <v>70.559999999999988</v>
      </c>
      <c r="AI88" s="2">
        <f t="shared" si="89"/>
        <v>17.0688</v>
      </c>
      <c r="AJ88" s="2">
        <f t="shared" si="123"/>
        <v>17.0688</v>
      </c>
      <c r="AK88" s="1">
        <f t="shared" si="107"/>
        <v>23.213568000000002</v>
      </c>
      <c r="AL88" s="2">
        <f t="shared" si="108"/>
        <v>17.0688</v>
      </c>
      <c r="AM88" s="2">
        <f t="shared" si="109"/>
        <v>17.0688</v>
      </c>
      <c r="AN88" s="1">
        <f t="shared" si="110"/>
        <v>17.0688</v>
      </c>
      <c r="AO88" s="1">
        <f t="shared" si="111"/>
        <v>17.0688</v>
      </c>
      <c r="AP88" s="2">
        <f t="shared" si="112"/>
        <v>14.779188000000001</v>
      </c>
      <c r="AQ88" s="2">
        <f t="shared" si="124"/>
        <v>17.0688</v>
      </c>
      <c r="AR88" s="1">
        <f t="shared" si="132"/>
        <v>50.4</v>
      </c>
      <c r="AS88" s="2">
        <f t="shared" si="81"/>
        <v>36.947970000000005</v>
      </c>
      <c r="AT88" s="2">
        <f t="shared" si="113"/>
        <v>17.0688</v>
      </c>
      <c r="AU88" s="2">
        <v>21.284046000000004</v>
      </c>
      <c r="AV88" s="2">
        <f t="shared" si="127"/>
        <v>16.257106800000003</v>
      </c>
      <c r="AW88" s="2">
        <f t="shared" si="114"/>
        <v>17.0688</v>
      </c>
      <c r="AX88" s="1">
        <f t="shared" si="129"/>
        <v>16.21536</v>
      </c>
      <c r="AY88" s="2" t="str">
        <f t="shared" si="115"/>
        <v>15.02 Per Unit</v>
      </c>
      <c r="AZ88" s="2">
        <f t="shared" si="116"/>
        <v>17.0688</v>
      </c>
      <c r="BA88" s="2">
        <f t="shared" si="82"/>
        <v>17.0688</v>
      </c>
      <c r="BB88" s="2">
        <f t="shared" si="83"/>
        <v>17.0688</v>
      </c>
      <c r="BC88" s="2">
        <f t="shared" si="84"/>
        <v>17.0688</v>
      </c>
      <c r="BD88" s="2">
        <f t="shared" si="85"/>
        <v>18.775680000000001</v>
      </c>
      <c r="BE88" s="2">
        <f t="shared" si="86"/>
        <v>15.36192</v>
      </c>
      <c r="BF88" s="2">
        <f t="shared" si="133"/>
        <v>85.679999999999993</v>
      </c>
      <c r="BG88" s="2">
        <f t="shared" si="117"/>
        <v>17.0688</v>
      </c>
      <c r="BH88" s="2" t="str">
        <f t="shared" si="118"/>
        <v>16.22 Per Unit</v>
      </c>
      <c r="BI88" s="1">
        <f t="shared" si="125"/>
        <v>20.482559999999999</v>
      </c>
      <c r="BJ88" s="2">
        <f t="shared" si="126"/>
        <v>17.0688</v>
      </c>
      <c r="BK88" s="2">
        <f t="shared" si="119"/>
        <v>16.21536</v>
      </c>
      <c r="BL88" s="2">
        <f t="shared" si="120"/>
        <v>17.0688</v>
      </c>
      <c r="BM88" s="2">
        <v>15.120000000000001</v>
      </c>
      <c r="BN88" s="2">
        <f t="shared" si="121"/>
        <v>17.0688</v>
      </c>
      <c r="BO88" s="2">
        <f>MIN(N88:BN88:BN88)</f>
        <v>14.779188000000001</v>
      </c>
      <c r="BP88" s="2">
        <f t="shared" si="122"/>
        <v>85.679999999999993</v>
      </c>
      <c r="BQ88" s="22"/>
    </row>
    <row r="89" spans="1:70" ht="20.100000000000001" customHeight="1" x14ac:dyDescent="0.2">
      <c r="A89" s="17">
        <f t="shared" si="128"/>
        <v>87</v>
      </c>
      <c r="B89" s="24">
        <v>85027</v>
      </c>
      <c r="C89" s="24">
        <v>3058502700</v>
      </c>
      <c r="D89" s="19" t="s">
        <v>159</v>
      </c>
      <c r="E89" s="18" t="s">
        <v>103</v>
      </c>
      <c r="F89" s="33">
        <v>38.82</v>
      </c>
      <c r="G89" s="24">
        <v>305</v>
      </c>
      <c r="H89" s="12">
        <v>0</v>
      </c>
      <c r="I89" s="24">
        <v>0</v>
      </c>
      <c r="J89" s="2">
        <f t="shared" si="92"/>
        <v>8.5455760000000005</v>
      </c>
      <c r="K89" s="21" t="s">
        <v>104</v>
      </c>
      <c r="L89" s="2">
        <v>6.5735200000000003</v>
      </c>
      <c r="M89" s="2">
        <v>5.7174230000000001</v>
      </c>
      <c r="N89" s="11">
        <f>7.74*1.8</f>
        <v>13.932</v>
      </c>
      <c r="O89" s="2">
        <f t="shared" si="93"/>
        <v>6.5735200000000003</v>
      </c>
      <c r="P89" s="1">
        <f t="shared" si="130"/>
        <v>25.233000000000001</v>
      </c>
      <c r="Q89" s="2">
        <f t="shared" si="94"/>
        <v>6.5735200000000003</v>
      </c>
      <c r="R89" s="1">
        <f t="shared" si="95"/>
        <v>7.2308720000000006</v>
      </c>
      <c r="S89" s="2">
        <f t="shared" si="96"/>
        <v>6.5735200000000003</v>
      </c>
      <c r="T89" s="2">
        <v>10.195248999999999</v>
      </c>
      <c r="U89" s="1"/>
      <c r="V89" s="1">
        <v>22.45</v>
      </c>
      <c r="W89" s="2">
        <f t="shared" si="97"/>
        <v>6.5735200000000003</v>
      </c>
      <c r="X89" s="2">
        <f t="shared" si="98"/>
        <v>6.5735200000000003</v>
      </c>
      <c r="Y89" s="2">
        <f t="shared" si="99"/>
        <v>6.5735200000000003</v>
      </c>
      <c r="Z89" s="2">
        <v>9.48</v>
      </c>
      <c r="AA89" s="2">
        <f t="shared" si="100"/>
        <v>6.2448439999999996</v>
      </c>
      <c r="AB89" s="2">
        <f t="shared" si="101"/>
        <v>6.2448439999999996</v>
      </c>
      <c r="AC89" s="2">
        <f t="shared" si="102"/>
        <v>6.5735200000000003</v>
      </c>
      <c r="AD89" s="1">
        <f t="shared" si="103"/>
        <v>6.9021960000000009</v>
      </c>
      <c r="AE89" s="2">
        <f t="shared" si="104"/>
        <v>6.5735200000000003</v>
      </c>
      <c r="AF89" s="2">
        <f t="shared" si="105"/>
        <v>6.5735200000000003</v>
      </c>
      <c r="AG89" s="2">
        <f t="shared" si="106"/>
        <v>6.0476384000000003</v>
      </c>
      <c r="AH89" s="1">
        <f t="shared" si="131"/>
        <v>27.173999999999999</v>
      </c>
      <c r="AI89" s="2">
        <f t="shared" si="89"/>
        <v>6.5735200000000003</v>
      </c>
      <c r="AJ89" s="2">
        <f t="shared" si="123"/>
        <v>6.5735200000000003</v>
      </c>
      <c r="AK89" s="1">
        <f t="shared" si="107"/>
        <v>8.9399872000000009</v>
      </c>
      <c r="AL89" s="2">
        <f t="shared" si="108"/>
        <v>6.5735200000000003</v>
      </c>
      <c r="AM89" s="2">
        <f t="shared" si="109"/>
        <v>6.5735200000000003</v>
      </c>
      <c r="AN89" s="1">
        <f t="shared" si="110"/>
        <v>6.5735200000000003</v>
      </c>
      <c r="AO89" s="1">
        <f t="shared" si="111"/>
        <v>6.5735200000000003</v>
      </c>
      <c r="AP89" s="2">
        <f t="shared" si="112"/>
        <v>5.7174230000000001</v>
      </c>
      <c r="AQ89" s="2">
        <f t="shared" si="124"/>
        <v>6.5735200000000003</v>
      </c>
      <c r="AR89" s="1">
        <f t="shared" si="132"/>
        <v>19.41</v>
      </c>
      <c r="AS89" s="2">
        <f t="shared" si="81"/>
        <v>14.2935575</v>
      </c>
      <c r="AT89" s="2">
        <f t="shared" si="113"/>
        <v>6.5735200000000003</v>
      </c>
      <c r="AU89" s="2">
        <v>8.1968915250000016</v>
      </c>
      <c r="AV89" s="2">
        <f t="shared" si="127"/>
        <v>6.2891653000000005</v>
      </c>
      <c r="AW89" s="2">
        <f t="shared" si="114"/>
        <v>6.5735200000000003</v>
      </c>
      <c r="AX89" s="1">
        <f t="shared" si="129"/>
        <v>6.2448439999999996</v>
      </c>
      <c r="AY89" s="2" t="str">
        <f t="shared" si="115"/>
        <v>5.78 Per Unit</v>
      </c>
      <c r="AZ89" s="2">
        <f t="shared" si="116"/>
        <v>6.5735200000000003</v>
      </c>
      <c r="BA89" s="2">
        <f t="shared" si="82"/>
        <v>6.5735200000000003</v>
      </c>
      <c r="BB89" s="2">
        <f t="shared" si="83"/>
        <v>6.5735200000000003</v>
      </c>
      <c r="BC89" s="2">
        <f t="shared" si="84"/>
        <v>6.5735200000000003</v>
      </c>
      <c r="BD89" s="2">
        <f t="shared" si="85"/>
        <v>7.2308720000000006</v>
      </c>
      <c r="BE89" s="2">
        <f t="shared" si="86"/>
        <v>5.9161680000000008</v>
      </c>
      <c r="BF89" s="2">
        <f t="shared" si="133"/>
        <v>32.997</v>
      </c>
      <c r="BG89" s="2">
        <f t="shared" si="117"/>
        <v>6.5735200000000003</v>
      </c>
      <c r="BH89" s="2" t="str">
        <f t="shared" si="118"/>
        <v>6.24 Per Unit</v>
      </c>
      <c r="BI89" s="1">
        <f t="shared" si="125"/>
        <v>7.8882240000000001</v>
      </c>
      <c r="BJ89" s="2">
        <f t="shared" si="126"/>
        <v>6.5735200000000003</v>
      </c>
      <c r="BK89" s="2">
        <f t="shared" si="119"/>
        <v>6.2448439999999996</v>
      </c>
      <c r="BL89" s="2">
        <f t="shared" si="120"/>
        <v>6.5735200000000003</v>
      </c>
      <c r="BM89" s="2">
        <v>5.8229999999999995</v>
      </c>
      <c r="BN89" s="2">
        <f t="shared" si="121"/>
        <v>6.5735200000000003</v>
      </c>
      <c r="BO89" s="2">
        <f>MIN(N89:BN89:BN89)</f>
        <v>5.7174230000000001</v>
      </c>
      <c r="BP89" s="2">
        <f t="shared" si="122"/>
        <v>32.997</v>
      </c>
      <c r="BQ89" s="22"/>
    </row>
    <row r="90" spans="1:70" ht="20.100000000000001" customHeight="1" x14ac:dyDescent="0.2">
      <c r="A90" s="17">
        <f t="shared" si="128"/>
        <v>88</v>
      </c>
      <c r="B90" s="24">
        <v>85610</v>
      </c>
      <c r="C90" s="24">
        <v>3058561000</v>
      </c>
      <c r="D90" s="26" t="s">
        <v>160</v>
      </c>
      <c r="E90" s="18" t="s">
        <v>103</v>
      </c>
      <c r="F90" s="33">
        <v>25.74</v>
      </c>
      <c r="G90" s="24">
        <v>305</v>
      </c>
      <c r="H90" s="12">
        <v>0</v>
      </c>
      <c r="I90" s="24">
        <v>0</v>
      </c>
      <c r="J90" s="2">
        <f t="shared" si="92"/>
        <v>5.6662320000000008</v>
      </c>
      <c r="K90" s="21" t="s">
        <v>104</v>
      </c>
      <c r="L90" s="2">
        <v>4.3586400000000003</v>
      </c>
      <c r="M90" s="2">
        <v>3.4945370000000007</v>
      </c>
      <c r="N90" s="1">
        <f>4.7*1.8</f>
        <v>8.4600000000000009</v>
      </c>
      <c r="O90" s="2">
        <f t="shared" si="93"/>
        <v>4.3586400000000003</v>
      </c>
      <c r="P90" s="1">
        <f t="shared" si="130"/>
        <v>16.730999999999998</v>
      </c>
      <c r="Q90" s="2">
        <f t="shared" si="94"/>
        <v>4.3586400000000003</v>
      </c>
      <c r="R90" s="1">
        <f t="shared" si="95"/>
        <v>4.7945040000000008</v>
      </c>
      <c r="S90" s="2">
        <f t="shared" si="96"/>
        <v>4.3586400000000003</v>
      </c>
      <c r="T90" s="2">
        <v>6.2062650000000001</v>
      </c>
      <c r="U90" s="1"/>
      <c r="V90" s="1">
        <v>14.89</v>
      </c>
      <c r="W90" s="2">
        <f t="shared" si="97"/>
        <v>4.3586400000000003</v>
      </c>
      <c r="X90" s="2">
        <f t="shared" si="98"/>
        <v>4.3586400000000003</v>
      </c>
      <c r="Y90" s="2">
        <f t="shared" si="99"/>
        <v>4.3586400000000003</v>
      </c>
      <c r="Z90" s="2">
        <v>6.29</v>
      </c>
      <c r="AA90" s="2">
        <f t="shared" si="100"/>
        <v>4.1407080000000001</v>
      </c>
      <c r="AB90" s="2">
        <f t="shared" si="101"/>
        <v>4.1407080000000001</v>
      </c>
      <c r="AC90" s="2">
        <f t="shared" si="102"/>
        <v>4.3586400000000003</v>
      </c>
      <c r="AD90" s="1">
        <f t="shared" si="103"/>
        <v>4.5765720000000005</v>
      </c>
      <c r="AE90" s="2">
        <f t="shared" si="104"/>
        <v>4.3586400000000003</v>
      </c>
      <c r="AF90" s="2">
        <f t="shared" si="105"/>
        <v>4.3586400000000003</v>
      </c>
      <c r="AG90" s="2">
        <f t="shared" si="106"/>
        <v>4.0099488000000001</v>
      </c>
      <c r="AH90" s="1">
        <f t="shared" si="131"/>
        <v>18.017999999999997</v>
      </c>
      <c r="AI90" s="2">
        <f t="shared" si="89"/>
        <v>4.3586400000000003</v>
      </c>
      <c r="AJ90" s="2">
        <f t="shared" si="123"/>
        <v>4.3586400000000003</v>
      </c>
      <c r="AK90" s="1">
        <f t="shared" si="107"/>
        <v>5.9277504000000008</v>
      </c>
      <c r="AL90" s="2">
        <f t="shared" si="108"/>
        <v>4.3586400000000003</v>
      </c>
      <c r="AM90" s="2">
        <f t="shared" si="109"/>
        <v>4.3586400000000003</v>
      </c>
      <c r="AN90" s="1">
        <f t="shared" si="110"/>
        <v>4.3586400000000003</v>
      </c>
      <c r="AO90" s="1">
        <f t="shared" si="111"/>
        <v>4.3586400000000003</v>
      </c>
      <c r="AP90" s="2">
        <f t="shared" si="112"/>
        <v>3.4945370000000007</v>
      </c>
      <c r="AQ90" s="2">
        <f t="shared" si="124"/>
        <v>4.3586400000000003</v>
      </c>
      <c r="AR90" s="1">
        <f t="shared" si="132"/>
        <v>12.87</v>
      </c>
      <c r="AS90" s="2">
        <f t="shared" si="81"/>
        <v>8.736342500000001</v>
      </c>
      <c r="AT90" s="2">
        <f t="shared" si="113"/>
        <v>4.3586400000000003</v>
      </c>
      <c r="AU90" s="2">
        <v>5.4350331750000009</v>
      </c>
      <c r="AV90" s="2">
        <f t="shared" si="127"/>
        <v>3.8439907000000009</v>
      </c>
      <c r="AW90" s="2">
        <f t="shared" si="114"/>
        <v>4.3586400000000003</v>
      </c>
      <c r="AX90" s="1">
        <f t="shared" si="129"/>
        <v>4.1407080000000001</v>
      </c>
      <c r="AY90" s="2" t="str">
        <f t="shared" si="115"/>
        <v>3.84 Per Unit</v>
      </c>
      <c r="AZ90" s="2">
        <f t="shared" si="116"/>
        <v>4.3586400000000003</v>
      </c>
      <c r="BA90" s="2">
        <f t="shared" si="82"/>
        <v>4.3586400000000003</v>
      </c>
      <c r="BB90" s="2">
        <f t="shared" si="83"/>
        <v>4.3586400000000003</v>
      </c>
      <c r="BC90" s="2">
        <f t="shared" si="84"/>
        <v>4.3586400000000003</v>
      </c>
      <c r="BD90" s="2">
        <f t="shared" si="85"/>
        <v>4.7945040000000008</v>
      </c>
      <c r="BE90" s="2">
        <f t="shared" si="86"/>
        <v>3.9227760000000003</v>
      </c>
      <c r="BF90" s="2">
        <f t="shared" si="133"/>
        <v>21.878999999999998</v>
      </c>
      <c r="BG90" s="2">
        <f t="shared" si="117"/>
        <v>4.3586400000000003</v>
      </c>
      <c r="BH90" s="2" t="str">
        <f t="shared" si="118"/>
        <v>4.14 Per Unit</v>
      </c>
      <c r="BI90" s="1">
        <f t="shared" si="125"/>
        <v>5.2303680000000004</v>
      </c>
      <c r="BJ90" s="2">
        <f t="shared" si="126"/>
        <v>4.3586400000000003</v>
      </c>
      <c r="BK90" s="2">
        <f t="shared" si="119"/>
        <v>4.1407080000000001</v>
      </c>
      <c r="BL90" s="2">
        <f t="shared" si="120"/>
        <v>4.3586400000000003</v>
      </c>
      <c r="BM90" s="2">
        <v>3.8610000000000002</v>
      </c>
      <c r="BN90" s="2">
        <f t="shared" si="121"/>
        <v>4.3586400000000003</v>
      </c>
      <c r="BO90" s="2">
        <f>MIN(N90:BN90:BN90)</f>
        <v>3.4945370000000007</v>
      </c>
      <c r="BP90" s="2">
        <f t="shared" si="122"/>
        <v>21.878999999999998</v>
      </c>
      <c r="BQ90" s="22"/>
    </row>
    <row r="91" spans="1:70" ht="20.100000000000001" customHeight="1" x14ac:dyDescent="0.2">
      <c r="A91" s="17">
        <f t="shared" si="128"/>
        <v>89</v>
      </c>
      <c r="B91" s="24">
        <v>84165</v>
      </c>
      <c r="C91" s="24">
        <v>3018416500</v>
      </c>
      <c r="D91" s="26" t="s">
        <v>161</v>
      </c>
      <c r="E91" s="18" t="s">
        <v>103</v>
      </c>
      <c r="F91" s="33">
        <v>64.44</v>
      </c>
      <c r="G91" s="24">
        <v>301</v>
      </c>
      <c r="H91" s="12">
        <v>0</v>
      </c>
      <c r="I91" s="24">
        <v>0</v>
      </c>
      <c r="J91" s="2">
        <f t="shared" si="92"/>
        <v>14.185392</v>
      </c>
      <c r="K91" s="21" t="s">
        <v>104</v>
      </c>
      <c r="L91" s="2">
        <v>10.91184</v>
      </c>
      <c r="M91" s="2">
        <v>9.5624150000000014</v>
      </c>
      <c r="N91" s="12">
        <f>12.85*1.8</f>
        <v>23.13</v>
      </c>
      <c r="O91" s="2">
        <f t="shared" si="93"/>
        <v>10.91184</v>
      </c>
      <c r="P91" s="1">
        <f t="shared" si="130"/>
        <v>41.886000000000003</v>
      </c>
      <c r="Q91" s="2">
        <f t="shared" si="94"/>
        <v>10.91184</v>
      </c>
      <c r="R91" s="1">
        <f t="shared" si="95"/>
        <v>12.003024</v>
      </c>
      <c r="S91" s="2">
        <f t="shared" si="96"/>
        <v>10.91184</v>
      </c>
      <c r="T91" s="2">
        <v>16.942573000000003</v>
      </c>
      <c r="U91" s="1"/>
      <c r="V91" s="1">
        <v>37.270000000000003</v>
      </c>
      <c r="W91" s="2">
        <f t="shared" si="97"/>
        <v>10.91184</v>
      </c>
      <c r="X91" s="2">
        <f t="shared" si="98"/>
        <v>10.91184</v>
      </c>
      <c r="Y91" s="2">
        <f t="shared" si="99"/>
        <v>10.91184</v>
      </c>
      <c r="Z91" s="2">
        <v>15.71</v>
      </c>
      <c r="AA91" s="2">
        <f t="shared" si="100"/>
        <v>10.366247999999999</v>
      </c>
      <c r="AB91" s="2">
        <f t="shared" si="101"/>
        <v>10.366247999999999</v>
      </c>
      <c r="AC91" s="2">
        <f t="shared" si="102"/>
        <v>10.91184</v>
      </c>
      <c r="AD91" s="1">
        <f t="shared" si="103"/>
        <v>11.457432000000001</v>
      </c>
      <c r="AE91" s="2">
        <f t="shared" si="104"/>
        <v>10.91184</v>
      </c>
      <c r="AF91" s="2">
        <f t="shared" si="105"/>
        <v>10.91184</v>
      </c>
      <c r="AG91" s="2">
        <f t="shared" si="106"/>
        <v>10.038892800000001</v>
      </c>
      <c r="AH91" s="1">
        <f t="shared" si="131"/>
        <v>45.107999999999997</v>
      </c>
      <c r="AI91" s="2">
        <f t="shared" si="89"/>
        <v>10.91184</v>
      </c>
      <c r="AJ91" s="2">
        <f t="shared" si="123"/>
        <v>10.91184</v>
      </c>
      <c r="AK91" s="1">
        <f t="shared" si="107"/>
        <v>14.840102400000001</v>
      </c>
      <c r="AL91" s="2">
        <f t="shared" si="108"/>
        <v>10.91184</v>
      </c>
      <c r="AM91" s="2">
        <f t="shared" si="109"/>
        <v>10.91184</v>
      </c>
      <c r="AN91" s="1">
        <f t="shared" si="110"/>
        <v>10.91184</v>
      </c>
      <c r="AO91" s="1">
        <f t="shared" si="111"/>
        <v>10.91184</v>
      </c>
      <c r="AP91" s="2">
        <f t="shared" si="112"/>
        <v>9.5624150000000014</v>
      </c>
      <c r="AQ91" s="2">
        <f t="shared" si="124"/>
        <v>10.91184</v>
      </c>
      <c r="AR91" s="1">
        <f t="shared" si="132"/>
        <v>32.22</v>
      </c>
      <c r="AS91" s="2">
        <f t="shared" si="81"/>
        <v>23.906037500000004</v>
      </c>
      <c r="AT91" s="2">
        <f t="shared" si="113"/>
        <v>10.91184</v>
      </c>
      <c r="AU91" s="2">
        <v>13.606586550000001</v>
      </c>
      <c r="AV91" s="2">
        <f t="shared" si="127"/>
        <v>10.518656500000002</v>
      </c>
      <c r="AW91" s="2">
        <f t="shared" si="114"/>
        <v>10.91184</v>
      </c>
      <c r="AX91" s="1">
        <f t="shared" si="129"/>
        <v>10.366247999999999</v>
      </c>
      <c r="AY91" s="2" t="str">
        <f t="shared" si="115"/>
        <v>9.6 Per Unit</v>
      </c>
      <c r="AZ91" s="2">
        <f t="shared" si="116"/>
        <v>10.91184</v>
      </c>
      <c r="BA91" s="2">
        <f t="shared" si="82"/>
        <v>10.91184</v>
      </c>
      <c r="BB91" s="2">
        <f t="shared" si="83"/>
        <v>10.91184</v>
      </c>
      <c r="BC91" s="2">
        <f t="shared" si="84"/>
        <v>10.91184</v>
      </c>
      <c r="BD91" s="2">
        <f t="shared" si="85"/>
        <v>12.003024</v>
      </c>
      <c r="BE91" s="2">
        <f t="shared" si="86"/>
        <v>9.8206559999999996</v>
      </c>
      <c r="BF91" s="2">
        <f t="shared" si="133"/>
        <v>54.773999999999994</v>
      </c>
      <c r="BG91" s="2">
        <f t="shared" si="117"/>
        <v>10.91184</v>
      </c>
      <c r="BH91" s="2" t="str">
        <f t="shared" si="118"/>
        <v>10.37 Per Unit</v>
      </c>
      <c r="BI91" s="1">
        <f t="shared" si="125"/>
        <v>13.094208</v>
      </c>
      <c r="BJ91" s="2">
        <f t="shared" si="126"/>
        <v>10.91184</v>
      </c>
      <c r="BK91" s="2">
        <f t="shared" si="119"/>
        <v>10.366247999999999</v>
      </c>
      <c r="BL91" s="2">
        <f t="shared" si="120"/>
        <v>10.91184</v>
      </c>
      <c r="BM91" s="2">
        <v>9.6660000000000004</v>
      </c>
      <c r="BN91" s="2">
        <f t="shared" si="121"/>
        <v>10.91184</v>
      </c>
      <c r="BO91" s="2">
        <f>MIN(N91:BN91:BN91)</f>
        <v>9.5624150000000014</v>
      </c>
      <c r="BP91" s="2">
        <f t="shared" si="122"/>
        <v>54.773999999999994</v>
      </c>
      <c r="BQ91" s="22"/>
    </row>
    <row r="92" spans="1:70" ht="20.100000000000001" customHeight="1" x14ac:dyDescent="0.2">
      <c r="A92" s="17">
        <f t="shared" si="128"/>
        <v>90</v>
      </c>
      <c r="B92" s="24">
        <v>84156</v>
      </c>
      <c r="C92" s="24">
        <v>3018415600</v>
      </c>
      <c r="D92" s="26" t="s">
        <v>162</v>
      </c>
      <c r="E92" s="18" t="s">
        <v>103</v>
      </c>
      <c r="F92" s="33">
        <v>22.02</v>
      </c>
      <c r="G92" s="24">
        <v>301</v>
      </c>
      <c r="H92" s="12">
        <v>0</v>
      </c>
      <c r="I92" s="24">
        <v>0</v>
      </c>
      <c r="J92" s="2">
        <f t="shared" si="92"/>
        <v>4.8473360000000003</v>
      </c>
      <c r="K92" s="21" t="s">
        <v>104</v>
      </c>
      <c r="L92" s="1">
        <v>3.72872</v>
      </c>
      <c r="M92" s="2">
        <v>3.2642380000000002</v>
      </c>
      <c r="N92" s="12">
        <f>4.39*1.8</f>
        <v>7.9019999999999992</v>
      </c>
      <c r="O92" s="2">
        <f t="shared" si="93"/>
        <v>3.72872</v>
      </c>
      <c r="P92" s="1">
        <f t="shared" si="130"/>
        <v>14.313000000000001</v>
      </c>
      <c r="Q92" s="2">
        <f t="shared" si="94"/>
        <v>3.72872</v>
      </c>
      <c r="R92" s="1">
        <f t="shared" si="95"/>
        <v>4.1015920000000001</v>
      </c>
      <c r="S92" s="2">
        <f t="shared" si="96"/>
        <v>3.72872</v>
      </c>
      <c r="T92" s="2">
        <v>5.7925140000000006</v>
      </c>
      <c r="U92" s="1"/>
      <c r="V92" s="1">
        <v>12.73</v>
      </c>
      <c r="W92" s="2">
        <f t="shared" si="97"/>
        <v>3.72872</v>
      </c>
      <c r="X92" s="2">
        <f t="shared" si="98"/>
        <v>3.72872</v>
      </c>
      <c r="Y92" s="2">
        <f t="shared" si="99"/>
        <v>3.72872</v>
      </c>
      <c r="Z92" s="2">
        <v>5.39</v>
      </c>
      <c r="AA92" s="2">
        <f t="shared" si="100"/>
        <v>3.542284</v>
      </c>
      <c r="AB92" s="2">
        <f t="shared" si="101"/>
        <v>3.542284</v>
      </c>
      <c r="AC92" s="2">
        <f t="shared" si="102"/>
        <v>3.72872</v>
      </c>
      <c r="AD92" s="1">
        <f t="shared" si="103"/>
        <v>3.9151560000000001</v>
      </c>
      <c r="AE92" s="2">
        <f t="shared" si="104"/>
        <v>3.72872</v>
      </c>
      <c r="AF92" s="2">
        <f t="shared" si="105"/>
        <v>3.72872</v>
      </c>
      <c r="AG92" s="2">
        <f t="shared" si="106"/>
        <v>3.4304224000000003</v>
      </c>
      <c r="AH92" s="1">
        <f t="shared" si="131"/>
        <v>15.413999999999998</v>
      </c>
      <c r="AI92" s="2">
        <f t="shared" si="89"/>
        <v>3.72872</v>
      </c>
      <c r="AJ92" s="2">
        <f t="shared" si="123"/>
        <v>3.72872</v>
      </c>
      <c r="AK92" s="1">
        <f t="shared" si="107"/>
        <v>5.0710592000000005</v>
      </c>
      <c r="AL92" s="2">
        <f t="shared" si="108"/>
        <v>3.72872</v>
      </c>
      <c r="AM92" s="2">
        <f t="shared" si="109"/>
        <v>3.72872</v>
      </c>
      <c r="AN92" s="1">
        <f t="shared" si="110"/>
        <v>3.72872</v>
      </c>
      <c r="AO92" s="1">
        <f t="shared" si="111"/>
        <v>3.72872</v>
      </c>
      <c r="AP92" s="2">
        <f t="shared" si="112"/>
        <v>3.2642380000000002</v>
      </c>
      <c r="AQ92" s="2">
        <f t="shared" si="124"/>
        <v>3.72872</v>
      </c>
      <c r="AR92" s="1">
        <f t="shared" si="132"/>
        <v>11.01</v>
      </c>
      <c r="AS92" s="2">
        <f t="shared" si="81"/>
        <v>8.1605950000000007</v>
      </c>
      <c r="AT92" s="2">
        <f t="shared" si="113"/>
        <v>3.72872</v>
      </c>
      <c r="AU92" s="2">
        <v>4.6495505250000013</v>
      </c>
      <c r="AV92" s="2">
        <f t="shared" si="127"/>
        <v>3.5906618000000003</v>
      </c>
      <c r="AW92" s="2">
        <f t="shared" si="114"/>
        <v>3.72872</v>
      </c>
      <c r="AX92" s="1">
        <f t="shared" si="129"/>
        <v>3.542284</v>
      </c>
      <c r="AY92" s="2" t="str">
        <f t="shared" si="115"/>
        <v>3.28 Per Unit</v>
      </c>
      <c r="AZ92" s="2">
        <f t="shared" si="116"/>
        <v>3.72872</v>
      </c>
      <c r="BA92" s="2">
        <f t="shared" si="82"/>
        <v>3.72872</v>
      </c>
      <c r="BB92" s="2">
        <f t="shared" si="83"/>
        <v>3.72872</v>
      </c>
      <c r="BC92" s="2">
        <f t="shared" si="84"/>
        <v>3.72872</v>
      </c>
      <c r="BD92" s="2">
        <f t="shared" si="85"/>
        <v>4.1015920000000001</v>
      </c>
      <c r="BE92" s="2">
        <f t="shared" si="86"/>
        <v>3.3558479999999999</v>
      </c>
      <c r="BF92" s="2">
        <f t="shared" si="133"/>
        <v>18.716999999999999</v>
      </c>
      <c r="BG92" s="2">
        <f t="shared" si="117"/>
        <v>3.72872</v>
      </c>
      <c r="BH92" s="2" t="str">
        <f t="shared" si="118"/>
        <v>3.54 Per Unit</v>
      </c>
      <c r="BI92" s="1">
        <f t="shared" si="125"/>
        <v>4.4744640000000002</v>
      </c>
      <c r="BJ92" s="2">
        <f t="shared" si="126"/>
        <v>3.72872</v>
      </c>
      <c r="BK92" s="2">
        <f t="shared" si="119"/>
        <v>3.542284</v>
      </c>
      <c r="BL92" s="2">
        <f t="shared" si="120"/>
        <v>3.72872</v>
      </c>
      <c r="BM92" s="2">
        <v>3.3029999999999999</v>
      </c>
      <c r="BN92" s="2">
        <f t="shared" si="121"/>
        <v>3.72872</v>
      </c>
      <c r="BO92" s="2">
        <f>MIN(N92:BN92:BN92)</f>
        <v>3.2642380000000002</v>
      </c>
      <c r="BP92" s="2">
        <f t="shared" si="122"/>
        <v>18.716999999999999</v>
      </c>
      <c r="BQ92" s="22"/>
    </row>
    <row r="93" spans="1:70" ht="20.100000000000001" customHeight="1" x14ac:dyDescent="0.2">
      <c r="A93" s="17">
        <f t="shared" si="128"/>
        <v>91</v>
      </c>
      <c r="B93" s="24">
        <v>82550</v>
      </c>
      <c r="C93" s="24">
        <v>3018255000</v>
      </c>
      <c r="D93" s="19" t="s">
        <v>163</v>
      </c>
      <c r="E93" s="18" t="s">
        <v>103</v>
      </c>
      <c r="F93" s="33">
        <v>39.06</v>
      </c>
      <c r="G93" s="24">
        <v>301</v>
      </c>
      <c r="H93" s="12">
        <v>0</v>
      </c>
      <c r="I93" s="24">
        <v>0</v>
      </c>
      <c r="J93" s="2">
        <f t="shared" si="92"/>
        <v>8.5984080000000009</v>
      </c>
      <c r="K93" s="21" t="s">
        <v>104</v>
      </c>
      <c r="L93" s="2">
        <v>6.61416</v>
      </c>
      <c r="M93" s="2">
        <v>5.7975270000000005</v>
      </c>
      <c r="N93" s="12">
        <f>7.79*1.8</f>
        <v>14.022</v>
      </c>
      <c r="O93" s="2">
        <f t="shared" si="93"/>
        <v>6.61416</v>
      </c>
      <c r="P93" s="1">
        <f t="shared" si="130"/>
        <v>25.389000000000003</v>
      </c>
      <c r="Q93" s="2">
        <f t="shared" si="94"/>
        <v>6.61416</v>
      </c>
      <c r="R93" s="1">
        <f t="shared" si="95"/>
        <v>7.2755760000000009</v>
      </c>
      <c r="S93" s="2">
        <f t="shared" si="96"/>
        <v>6.61416</v>
      </c>
      <c r="T93" s="2">
        <v>10.333166000000002</v>
      </c>
      <c r="U93" s="1"/>
      <c r="V93" s="1">
        <v>22.59</v>
      </c>
      <c r="W93" s="2">
        <f t="shared" si="97"/>
        <v>6.61416</v>
      </c>
      <c r="X93" s="2">
        <f t="shared" si="98"/>
        <v>6.61416</v>
      </c>
      <c r="Y93" s="2">
        <f t="shared" si="99"/>
        <v>6.61416</v>
      </c>
      <c r="Z93" s="2">
        <v>9.5299999999999994</v>
      </c>
      <c r="AA93" s="2">
        <f t="shared" si="100"/>
        <v>6.2834519999999996</v>
      </c>
      <c r="AB93" s="2">
        <f t="shared" si="101"/>
        <v>6.2834519999999996</v>
      </c>
      <c r="AC93" s="2">
        <f t="shared" si="102"/>
        <v>6.61416</v>
      </c>
      <c r="AD93" s="1">
        <f t="shared" si="103"/>
        <v>6.9448680000000005</v>
      </c>
      <c r="AE93" s="2">
        <f t="shared" si="104"/>
        <v>6.61416</v>
      </c>
      <c r="AF93" s="2">
        <f t="shared" si="105"/>
        <v>6.61416</v>
      </c>
      <c r="AG93" s="2">
        <f t="shared" si="106"/>
        <v>6.0850271999999999</v>
      </c>
      <c r="AH93" s="1">
        <f t="shared" si="131"/>
        <v>27.341999999999999</v>
      </c>
      <c r="AI93" s="2">
        <f t="shared" si="89"/>
        <v>6.61416</v>
      </c>
      <c r="AJ93" s="2">
        <f t="shared" si="123"/>
        <v>6.61416</v>
      </c>
      <c r="AK93" s="1">
        <f t="shared" si="107"/>
        <v>8.9952576000000004</v>
      </c>
      <c r="AL93" s="2">
        <f t="shared" si="108"/>
        <v>6.61416</v>
      </c>
      <c r="AM93" s="2">
        <f t="shared" si="109"/>
        <v>6.61416</v>
      </c>
      <c r="AN93" s="1">
        <f t="shared" si="110"/>
        <v>6.61416</v>
      </c>
      <c r="AO93" s="1">
        <f t="shared" si="111"/>
        <v>6.61416</v>
      </c>
      <c r="AP93" s="2">
        <f t="shared" si="112"/>
        <v>5.7975270000000005</v>
      </c>
      <c r="AQ93" s="2">
        <f t="shared" si="124"/>
        <v>6.61416</v>
      </c>
      <c r="AR93" s="1">
        <f t="shared" si="132"/>
        <v>19.53</v>
      </c>
      <c r="AS93" s="2">
        <f t="shared" si="81"/>
        <v>14.493817500000002</v>
      </c>
      <c r="AT93" s="2">
        <f t="shared" si="113"/>
        <v>6.61416</v>
      </c>
      <c r="AU93" s="2">
        <v>8.2475678250000026</v>
      </c>
      <c r="AV93" s="2">
        <f t="shared" si="127"/>
        <v>6.3772797000000008</v>
      </c>
      <c r="AW93" s="2">
        <f t="shared" si="114"/>
        <v>6.61416</v>
      </c>
      <c r="AX93" s="1">
        <f t="shared" si="129"/>
        <v>6.2834519999999996</v>
      </c>
      <c r="AY93" s="2" t="str">
        <f t="shared" si="115"/>
        <v>5.82 Per Unit</v>
      </c>
      <c r="AZ93" s="2">
        <f t="shared" si="116"/>
        <v>6.61416</v>
      </c>
      <c r="BA93" s="2">
        <f t="shared" si="82"/>
        <v>6.61416</v>
      </c>
      <c r="BB93" s="2">
        <f t="shared" si="83"/>
        <v>6.61416</v>
      </c>
      <c r="BC93" s="2">
        <f t="shared" si="84"/>
        <v>6.61416</v>
      </c>
      <c r="BD93" s="2">
        <f t="shared" si="85"/>
        <v>7.2755760000000009</v>
      </c>
      <c r="BE93" s="2">
        <f t="shared" si="86"/>
        <v>5.952744</v>
      </c>
      <c r="BF93" s="2">
        <f t="shared" si="133"/>
        <v>33.201000000000001</v>
      </c>
      <c r="BG93" s="2">
        <f t="shared" si="117"/>
        <v>6.61416</v>
      </c>
      <c r="BH93" s="2" t="str">
        <f t="shared" si="118"/>
        <v>6.28 Per Unit</v>
      </c>
      <c r="BI93" s="1">
        <f t="shared" si="125"/>
        <v>7.936992</v>
      </c>
      <c r="BJ93" s="2">
        <f t="shared" si="126"/>
        <v>6.61416</v>
      </c>
      <c r="BK93" s="2">
        <f t="shared" si="119"/>
        <v>6.2834519999999996</v>
      </c>
      <c r="BL93" s="2">
        <f t="shared" si="120"/>
        <v>6.61416</v>
      </c>
      <c r="BM93" s="2">
        <v>5.859</v>
      </c>
      <c r="BN93" s="2">
        <f t="shared" si="121"/>
        <v>6.61416</v>
      </c>
      <c r="BO93" s="2">
        <f>MIN(N93:BN93:BN93)</f>
        <v>5.7975270000000005</v>
      </c>
      <c r="BP93" s="2">
        <f t="shared" si="122"/>
        <v>33.201000000000001</v>
      </c>
      <c r="BQ93" s="22"/>
    </row>
    <row r="94" spans="1:70" ht="20.100000000000001" customHeight="1" x14ac:dyDescent="0.2">
      <c r="A94" s="17">
        <f t="shared" si="128"/>
        <v>92</v>
      </c>
      <c r="B94" s="24">
        <v>86334</v>
      </c>
      <c r="C94" s="24">
        <v>3028633400</v>
      </c>
      <c r="D94" s="26" t="s">
        <v>164</v>
      </c>
      <c r="E94" s="18" t="s">
        <v>103</v>
      </c>
      <c r="F94" s="33">
        <v>134.04</v>
      </c>
      <c r="G94" s="24">
        <v>302</v>
      </c>
      <c r="H94" s="12">
        <v>0</v>
      </c>
      <c r="I94" s="24">
        <v>0</v>
      </c>
      <c r="J94" s="2">
        <f t="shared" si="92"/>
        <v>29.506672000000002</v>
      </c>
      <c r="K94" s="21" t="s">
        <v>104</v>
      </c>
      <c r="L94" s="1">
        <v>22.69744</v>
      </c>
      <c r="M94" s="2">
        <v>19.885818</v>
      </c>
      <c r="N94" s="12">
        <f>26.72*1.8</f>
        <v>48.095999999999997</v>
      </c>
      <c r="O94" s="2">
        <f t="shared" si="93"/>
        <v>22.69744</v>
      </c>
      <c r="P94" s="1">
        <f t="shared" si="130"/>
        <v>87.126000000000005</v>
      </c>
      <c r="Q94" s="2">
        <f t="shared" si="94"/>
        <v>22.69744</v>
      </c>
      <c r="R94" s="1">
        <f t="shared" si="95"/>
        <v>24.967184000000003</v>
      </c>
      <c r="S94" s="2">
        <f t="shared" si="96"/>
        <v>22.69744</v>
      </c>
      <c r="T94" s="2">
        <v>35.200662000000001</v>
      </c>
      <c r="U94" s="1"/>
      <c r="V94" s="1">
        <v>77.52</v>
      </c>
      <c r="W94" s="2">
        <f t="shared" si="97"/>
        <v>22.69744</v>
      </c>
      <c r="X94" s="2">
        <f t="shared" si="98"/>
        <v>22.69744</v>
      </c>
      <c r="Y94" s="2">
        <f t="shared" si="99"/>
        <v>22.69744</v>
      </c>
      <c r="Z94" s="2">
        <v>32.67</v>
      </c>
      <c r="AA94" s="2">
        <f t="shared" si="100"/>
        <v>21.562567999999999</v>
      </c>
      <c r="AB94" s="2">
        <f t="shared" si="101"/>
        <v>21.562567999999999</v>
      </c>
      <c r="AC94" s="2">
        <f t="shared" si="102"/>
        <v>22.69744</v>
      </c>
      <c r="AD94" s="1">
        <f t="shared" si="103"/>
        <v>23.832312000000002</v>
      </c>
      <c r="AE94" s="2">
        <f t="shared" si="104"/>
        <v>22.69744</v>
      </c>
      <c r="AF94" s="2">
        <f t="shared" si="105"/>
        <v>22.69744</v>
      </c>
      <c r="AG94" s="2">
        <f t="shared" si="106"/>
        <v>20.8816448</v>
      </c>
      <c r="AH94" s="1">
        <f t="shared" si="131"/>
        <v>93.827999999999989</v>
      </c>
      <c r="AI94" s="2">
        <f t="shared" si="89"/>
        <v>22.69744</v>
      </c>
      <c r="AJ94" s="2">
        <f t="shared" si="123"/>
        <v>22.69744</v>
      </c>
      <c r="AK94" s="1">
        <f t="shared" si="107"/>
        <v>30.868518400000003</v>
      </c>
      <c r="AL94" s="2">
        <f t="shared" si="108"/>
        <v>22.69744</v>
      </c>
      <c r="AM94" s="2">
        <f t="shared" si="109"/>
        <v>22.69744</v>
      </c>
      <c r="AN94" s="1">
        <f t="shared" si="110"/>
        <v>22.69744</v>
      </c>
      <c r="AO94" s="1">
        <f t="shared" si="111"/>
        <v>22.69744</v>
      </c>
      <c r="AP94" s="2">
        <f t="shared" si="112"/>
        <v>19.885818</v>
      </c>
      <c r="AQ94" s="2">
        <f t="shared" si="124"/>
        <v>22.69744</v>
      </c>
      <c r="AR94" s="1">
        <f t="shared" si="132"/>
        <v>67.02</v>
      </c>
      <c r="AS94" s="2">
        <f t="shared" si="81"/>
        <v>49.714545000000001</v>
      </c>
      <c r="AT94" s="2">
        <f t="shared" si="113"/>
        <v>22.69744</v>
      </c>
      <c r="AU94" s="2">
        <v>28.302713550000004</v>
      </c>
      <c r="AV94" s="2">
        <f t="shared" si="127"/>
        <v>21.874399800000003</v>
      </c>
      <c r="AW94" s="2">
        <f t="shared" si="114"/>
        <v>22.69744</v>
      </c>
      <c r="AX94" s="1">
        <f t="shared" si="129"/>
        <v>21.562567999999999</v>
      </c>
      <c r="AY94" s="2" t="str">
        <f t="shared" si="115"/>
        <v>19.97 Per Unit</v>
      </c>
      <c r="AZ94" s="2">
        <f t="shared" si="116"/>
        <v>22.69744</v>
      </c>
      <c r="BA94" s="2">
        <f t="shared" si="82"/>
        <v>22.69744</v>
      </c>
      <c r="BB94" s="2">
        <f t="shared" si="83"/>
        <v>22.69744</v>
      </c>
      <c r="BC94" s="2">
        <f t="shared" si="84"/>
        <v>22.69744</v>
      </c>
      <c r="BD94" s="2">
        <f t="shared" si="85"/>
        <v>24.967184000000003</v>
      </c>
      <c r="BE94" s="2">
        <f t="shared" si="86"/>
        <v>20.427696000000001</v>
      </c>
      <c r="BF94" s="2">
        <f t="shared" si="133"/>
        <v>113.93399999999998</v>
      </c>
      <c r="BG94" s="2">
        <f t="shared" si="117"/>
        <v>22.69744</v>
      </c>
      <c r="BH94" s="2" t="str">
        <f t="shared" si="118"/>
        <v>21.56 Per Unit</v>
      </c>
      <c r="BI94" s="1">
        <f t="shared" si="125"/>
        <v>27.236927999999999</v>
      </c>
      <c r="BJ94" s="2">
        <f t="shared" si="126"/>
        <v>22.69744</v>
      </c>
      <c r="BK94" s="2">
        <f t="shared" si="119"/>
        <v>21.562567999999999</v>
      </c>
      <c r="BL94" s="2">
        <f t="shared" si="120"/>
        <v>22.69744</v>
      </c>
      <c r="BM94" s="2">
        <v>20.106000000000002</v>
      </c>
      <c r="BN94" s="2">
        <f t="shared" si="121"/>
        <v>22.69744</v>
      </c>
      <c r="BO94" s="2">
        <f>MIN(N94:BN94:BN94)</f>
        <v>19.885818</v>
      </c>
      <c r="BP94" s="2">
        <f t="shared" si="122"/>
        <v>113.93399999999998</v>
      </c>
      <c r="BQ94" s="22"/>
    </row>
    <row r="95" spans="1:70" ht="20.100000000000001" customHeight="1" x14ac:dyDescent="0.2">
      <c r="A95" s="17">
        <f t="shared" si="128"/>
        <v>93</v>
      </c>
      <c r="B95" s="24">
        <v>83002</v>
      </c>
      <c r="C95" s="24">
        <v>3018300200</v>
      </c>
      <c r="D95" s="26" t="s">
        <v>165</v>
      </c>
      <c r="E95" s="18" t="s">
        <v>103</v>
      </c>
      <c r="F95" s="33">
        <v>111.12</v>
      </c>
      <c r="G95" s="24">
        <v>301</v>
      </c>
      <c r="H95" s="12">
        <v>0</v>
      </c>
      <c r="I95" s="24">
        <v>0</v>
      </c>
      <c r="J95" s="2">
        <f t="shared" si="92"/>
        <v>24.461216000000004</v>
      </c>
      <c r="K95" s="21" t="s">
        <v>104</v>
      </c>
      <c r="L95" s="2">
        <v>18.816320000000001</v>
      </c>
      <c r="M95" s="2">
        <v>16.401294</v>
      </c>
      <c r="N95" s="12">
        <f>22.15*1.8</f>
        <v>39.869999999999997</v>
      </c>
      <c r="O95" s="2">
        <f t="shared" si="93"/>
        <v>18.816320000000001</v>
      </c>
      <c r="P95" s="1">
        <f t="shared" si="130"/>
        <v>72.228000000000009</v>
      </c>
      <c r="Q95" s="2">
        <f t="shared" si="94"/>
        <v>18.816320000000001</v>
      </c>
      <c r="R95" s="1">
        <f t="shared" si="95"/>
        <v>20.697952000000004</v>
      </c>
      <c r="S95" s="2">
        <f t="shared" si="96"/>
        <v>18.816320000000001</v>
      </c>
      <c r="T95" s="2">
        <v>29.185359000000005</v>
      </c>
      <c r="U95" s="1"/>
      <c r="V95" s="1">
        <v>64.260000000000005</v>
      </c>
      <c r="W95" s="2">
        <f t="shared" si="97"/>
        <v>18.816320000000001</v>
      </c>
      <c r="X95" s="2">
        <f t="shared" si="98"/>
        <v>18.816320000000001</v>
      </c>
      <c r="Y95" s="2">
        <f t="shared" si="99"/>
        <v>18.816320000000001</v>
      </c>
      <c r="Z95" s="2">
        <v>27.09</v>
      </c>
      <c r="AA95" s="2">
        <f t="shared" si="100"/>
        <v>17.875503999999999</v>
      </c>
      <c r="AB95" s="2">
        <f t="shared" si="101"/>
        <v>17.875503999999999</v>
      </c>
      <c r="AC95" s="2">
        <f t="shared" si="102"/>
        <v>18.816320000000001</v>
      </c>
      <c r="AD95" s="1">
        <f t="shared" si="103"/>
        <v>19.757136000000003</v>
      </c>
      <c r="AE95" s="2">
        <f t="shared" si="104"/>
        <v>18.816320000000001</v>
      </c>
      <c r="AF95" s="2">
        <f t="shared" si="105"/>
        <v>18.816320000000001</v>
      </c>
      <c r="AG95" s="2">
        <f t="shared" si="106"/>
        <v>17.311014400000001</v>
      </c>
      <c r="AH95" s="1">
        <f t="shared" si="131"/>
        <v>77.783999999999992</v>
      </c>
      <c r="AI95" s="2">
        <f t="shared" si="89"/>
        <v>18.816320000000001</v>
      </c>
      <c r="AJ95" s="2">
        <f t="shared" si="123"/>
        <v>18.816320000000001</v>
      </c>
      <c r="AK95" s="1">
        <f t="shared" si="107"/>
        <v>25.590195200000004</v>
      </c>
      <c r="AL95" s="2">
        <f t="shared" si="108"/>
        <v>18.816320000000001</v>
      </c>
      <c r="AM95" s="2">
        <f t="shared" si="109"/>
        <v>18.816320000000001</v>
      </c>
      <c r="AN95" s="1">
        <f t="shared" si="110"/>
        <v>18.816320000000001</v>
      </c>
      <c r="AO95" s="1">
        <f t="shared" si="111"/>
        <v>18.816320000000001</v>
      </c>
      <c r="AP95" s="2">
        <f t="shared" si="112"/>
        <v>16.401294</v>
      </c>
      <c r="AQ95" s="2">
        <f t="shared" si="124"/>
        <v>18.816320000000001</v>
      </c>
      <c r="AR95" s="1">
        <f t="shared" si="132"/>
        <v>55.56</v>
      </c>
      <c r="AS95" s="2">
        <f t="shared" si="81"/>
        <v>41.003235000000004</v>
      </c>
      <c r="AT95" s="2">
        <f t="shared" si="113"/>
        <v>18.816320000000001</v>
      </c>
      <c r="AU95" s="2">
        <v>23.463126900000006</v>
      </c>
      <c r="AV95" s="2">
        <f t="shared" si="127"/>
        <v>18.041423400000003</v>
      </c>
      <c r="AW95" s="2">
        <f t="shared" si="114"/>
        <v>18.816320000000001</v>
      </c>
      <c r="AX95" s="1">
        <f t="shared" si="129"/>
        <v>17.875503999999999</v>
      </c>
      <c r="AY95" s="2" t="str">
        <f t="shared" si="115"/>
        <v>16.56 Per Unit</v>
      </c>
      <c r="AZ95" s="2">
        <f t="shared" si="116"/>
        <v>18.816320000000001</v>
      </c>
      <c r="BA95" s="2">
        <f t="shared" si="82"/>
        <v>18.816320000000001</v>
      </c>
      <c r="BB95" s="2">
        <f t="shared" si="83"/>
        <v>18.816320000000001</v>
      </c>
      <c r="BC95" s="2">
        <f t="shared" si="84"/>
        <v>18.816320000000001</v>
      </c>
      <c r="BD95" s="2">
        <f t="shared" si="85"/>
        <v>20.697952000000004</v>
      </c>
      <c r="BE95" s="2">
        <f t="shared" si="86"/>
        <v>16.934688000000001</v>
      </c>
      <c r="BF95" s="2">
        <f t="shared" si="133"/>
        <v>94.451999999999998</v>
      </c>
      <c r="BG95" s="2">
        <f t="shared" si="117"/>
        <v>18.816320000000001</v>
      </c>
      <c r="BH95" s="2" t="str">
        <f t="shared" si="118"/>
        <v>17.88 Per Unit</v>
      </c>
      <c r="BI95" s="1">
        <f t="shared" si="125"/>
        <v>22.579584000000001</v>
      </c>
      <c r="BJ95" s="2">
        <f t="shared" si="126"/>
        <v>18.816320000000001</v>
      </c>
      <c r="BK95" s="2">
        <f t="shared" si="119"/>
        <v>17.875503999999999</v>
      </c>
      <c r="BL95" s="2">
        <f t="shared" si="120"/>
        <v>18.816320000000001</v>
      </c>
      <c r="BM95" s="2">
        <v>16.667999999999999</v>
      </c>
      <c r="BN95" s="2">
        <f t="shared" si="121"/>
        <v>18.816320000000001</v>
      </c>
      <c r="BO95" s="2">
        <f>MIN(N95:BN95:BN95)</f>
        <v>16.401294</v>
      </c>
      <c r="BP95" s="2">
        <f t="shared" si="122"/>
        <v>94.451999999999998</v>
      </c>
      <c r="BQ95" s="22"/>
    </row>
    <row r="96" spans="1:70" ht="20.100000000000001" customHeight="1" x14ac:dyDescent="0.2">
      <c r="A96" s="17">
        <f t="shared" si="128"/>
        <v>94</v>
      </c>
      <c r="B96" s="24">
        <v>86038</v>
      </c>
      <c r="C96" s="24">
        <v>3028603800</v>
      </c>
      <c r="D96" s="26" t="s">
        <v>166</v>
      </c>
      <c r="E96" s="18" t="s">
        <v>103</v>
      </c>
      <c r="F96" s="33">
        <v>72.540000000000006</v>
      </c>
      <c r="G96" s="24">
        <v>302</v>
      </c>
      <c r="H96" s="12">
        <v>0</v>
      </c>
      <c r="I96" s="24">
        <v>0</v>
      </c>
      <c r="J96" s="2">
        <f t="shared" si="92"/>
        <v>15.968472000000002</v>
      </c>
      <c r="K96" s="21" t="s">
        <v>104</v>
      </c>
      <c r="L96" s="1">
        <v>12.283440000000001</v>
      </c>
      <c r="M96" s="2">
        <v>10.643819000000002</v>
      </c>
      <c r="N96" s="12">
        <f>14.46*1.8</f>
        <v>26.028000000000002</v>
      </c>
      <c r="O96" s="2">
        <f t="shared" si="93"/>
        <v>12.283440000000001</v>
      </c>
      <c r="P96" s="1">
        <f t="shared" si="130"/>
        <v>47.151000000000003</v>
      </c>
      <c r="Q96" s="2">
        <f t="shared" si="94"/>
        <v>12.283440000000001</v>
      </c>
      <c r="R96" s="1">
        <f t="shared" si="95"/>
        <v>13.511784000000002</v>
      </c>
      <c r="S96" s="2">
        <f t="shared" si="96"/>
        <v>12.283440000000001</v>
      </c>
      <c r="T96" s="2">
        <v>19.043154999999999</v>
      </c>
      <c r="U96" s="1"/>
      <c r="V96" s="1">
        <v>41.95</v>
      </c>
      <c r="W96" s="2">
        <f t="shared" si="97"/>
        <v>12.283440000000001</v>
      </c>
      <c r="X96" s="2">
        <f t="shared" si="98"/>
        <v>12.283440000000001</v>
      </c>
      <c r="Y96" s="2">
        <f t="shared" si="99"/>
        <v>12.283440000000001</v>
      </c>
      <c r="Z96" s="2">
        <v>17.690000000000001</v>
      </c>
      <c r="AA96" s="2">
        <f t="shared" si="100"/>
        <v>11.669268000000001</v>
      </c>
      <c r="AB96" s="2">
        <f t="shared" si="101"/>
        <v>11.669268000000001</v>
      </c>
      <c r="AC96" s="2">
        <f t="shared" si="102"/>
        <v>12.283440000000001</v>
      </c>
      <c r="AD96" s="1">
        <f t="shared" si="103"/>
        <v>12.897612000000001</v>
      </c>
      <c r="AE96" s="2">
        <f t="shared" si="104"/>
        <v>12.283440000000001</v>
      </c>
      <c r="AF96" s="2">
        <f t="shared" si="105"/>
        <v>12.283440000000001</v>
      </c>
      <c r="AG96" s="2">
        <f t="shared" si="106"/>
        <v>11.300764800000001</v>
      </c>
      <c r="AH96" s="1">
        <f t="shared" si="131"/>
        <v>50.777999999999999</v>
      </c>
      <c r="AI96" s="2">
        <f t="shared" si="89"/>
        <v>12.283440000000001</v>
      </c>
      <c r="AJ96" s="2">
        <f t="shared" si="123"/>
        <v>12.283440000000001</v>
      </c>
      <c r="AK96" s="1">
        <f t="shared" si="107"/>
        <v>16.705478400000001</v>
      </c>
      <c r="AL96" s="2">
        <f t="shared" si="108"/>
        <v>12.283440000000001</v>
      </c>
      <c r="AM96" s="2">
        <f t="shared" si="109"/>
        <v>12.283440000000001</v>
      </c>
      <c r="AN96" s="1">
        <f t="shared" si="110"/>
        <v>12.283440000000001</v>
      </c>
      <c r="AO96" s="1">
        <f t="shared" si="111"/>
        <v>12.283440000000001</v>
      </c>
      <c r="AP96" s="2">
        <f t="shared" si="112"/>
        <v>10.643819000000002</v>
      </c>
      <c r="AQ96" s="2">
        <f t="shared" si="124"/>
        <v>12.283440000000001</v>
      </c>
      <c r="AR96" s="1">
        <f t="shared" si="132"/>
        <v>36.270000000000003</v>
      </c>
      <c r="AS96" s="2">
        <f t="shared" si="81"/>
        <v>26.609547500000005</v>
      </c>
      <c r="AT96" s="2">
        <f t="shared" si="113"/>
        <v>12.283440000000001</v>
      </c>
      <c r="AU96" s="2">
        <v>15.316911675000005</v>
      </c>
      <c r="AV96" s="2">
        <f t="shared" si="127"/>
        <v>11.708200900000003</v>
      </c>
      <c r="AW96" s="2">
        <f t="shared" si="114"/>
        <v>12.283440000000001</v>
      </c>
      <c r="AX96" s="1">
        <f t="shared" si="129"/>
        <v>11.669268000000001</v>
      </c>
      <c r="AY96" s="2" t="str">
        <f t="shared" si="115"/>
        <v>10.81 Per Unit</v>
      </c>
      <c r="AZ96" s="2">
        <f t="shared" si="116"/>
        <v>12.283440000000001</v>
      </c>
      <c r="BA96" s="2">
        <f t="shared" si="82"/>
        <v>12.283440000000001</v>
      </c>
      <c r="BB96" s="2">
        <f t="shared" si="83"/>
        <v>12.283440000000001</v>
      </c>
      <c r="BC96" s="2">
        <f t="shared" si="84"/>
        <v>12.283440000000001</v>
      </c>
      <c r="BD96" s="2">
        <f t="shared" si="85"/>
        <v>13.511784000000002</v>
      </c>
      <c r="BE96" s="2">
        <f t="shared" si="86"/>
        <v>11.055096000000001</v>
      </c>
      <c r="BF96" s="2">
        <f t="shared" si="133"/>
        <v>61.659000000000006</v>
      </c>
      <c r="BG96" s="2">
        <f t="shared" si="117"/>
        <v>12.283440000000001</v>
      </c>
      <c r="BH96" s="2" t="str">
        <f t="shared" si="118"/>
        <v>11.67 Per Unit</v>
      </c>
      <c r="BI96" s="1">
        <f t="shared" si="125"/>
        <v>14.740128</v>
      </c>
      <c r="BJ96" s="2">
        <f t="shared" si="126"/>
        <v>12.283440000000001</v>
      </c>
      <c r="BK96" s="2">
        <f t="shared" si="119"/>
        <v>11.669268000000001</v>
      </c>
      <c r="BL96" s="2">
        <f t="shared" si="120"/>
        <v>12.283440000000001</v>
      </c>
      <c r="BM96" s="2">
        <v>10.881</v>
      </c>
      <c r="BN96" s="2">
        <f t="shared" si="121"/>
        <v>12.283440000000001</v>
      </c>
      <c r="BO96" s="2">
        <f>MIN(N96:BN96:BN96)</f>
        <v>10.643819000000002</v>
      </c>
      <c r="BP96" s="2">
        <f t="shared" si="122"/>
        <v>61.659000000000006</v>
      </c>
      <c r="BQ96" s="22"/>
      <c r="BR96" s="25"/>
    </row>
    <row r="97" spans="1:69" ht="20.100000000000001" customHeight="1" x14ac:dyDescent="0.2">
      <c r="A97" s="17">
        <f t="shared" si="128"/>
        <v>95</v>
      </c>
      <c r="B97" s="24">
        <v>86430</v>
      </c>
      <c r="C97" s="24">
        <v>3028643000</v>
      </c>
      <c r="D97" s="19" t="s">
        <v>167</v>
      </c>
      <c r="E97" s="18" t="s">
        <v>103</v>
      </c>
      <c r="F97" s="33">
        <v>36.840000000000003</v>
      </c>
      <c r="G97" s="24">
        <v>302</v>
      </c>
      <c r="H97" s="12">
        <v>0</v>
      </c>
      <c r="I97" s="24">
        <v>0</v>
      </c>
      <c r="J97" s="2">
        <f t="shared" si="92"/>
        <v>8.109712</v>
      </c>
      <c r="K97" s="21" t="s">
        <v>104</v>
      </c>
      <c r="L97" s="1">
        <v>6.2382399999999993</v>
      </c>
      <c r="M97" s="2">
        <v>5.0465520000000001</v>
      </c>
      <c r="N97" s="12">
        <f>6.78*1.8</f>
        <v>12.204000000000001</v>
      </c>
      <c r="O97" s="2">
        <f t="shared" si="93"/>
        <v>6.2382399999999993</v>
      </c>
      <c r="P97" s="1">
        <f t="shared" si="130"/>
        <v>23.946000000000002</v>
      </c>
      <c r="Q97" s="2">
        <f t="shared" si="94"/>
        <v>6.2382399999999993</v>
      </c>
      <c r="R97" s="1">
        <f t="shared" si="95"/>
        <v>6.8620640000000002</v>
      </c>
      <c r="S97" s="2">
        <f t="shared" si="96"/>
        <v>6.2382399999999993</v>
      </c>
      <c r="T97" s="2">
        <v>8.8054700000000015</v>
      </c>
      <c r="U97" s="1"/>
      <c r="V97" s="1">
        <v>21.31</v>
      </c>
      <c r="W97" s="2">
        <f t="shared" si="97"/>
        <v>6.2382399999999993</v>
      </c>
      <c r="X97" s="2">
        <f t="shared" si="98"/>
        <v>6.2382399999999993</v>
      </c>
      <c r="Y97" s="2">
        <f t="shared" si="99"/>
        <v>6.2382399999999993</v>
      </c>
      <c r="Z97" s="2">
        <v>8.99</v>
      </c>
      <c r="AA97" s="2">
        <f t="shared" si="100"/>
        <v>5.9263279999999989</v>
      </c>
      <c r="AB97" s="2">
        <f t="shared" si="101"/>
        <v>5.9263279999999989</v>
      </c>
      <c r="AC97" s="2">
        <f t="shared" si="102"/>
        <v>6.2382399999999993</v>
      </c>
      <c r="AD97" s="1">
        <f t="shared" si="103"/>
        <v>6.5501519999999998</v>
      </c>
      <c r="AE97" s="2">
        <f t="shared" si="104"/>
        <v>6.2382399999999993</v>
      </c>
      <c r="AF97" s="2">
        <f t="shared" si="105"/>
        <v>6.2382399999999993</v>
      </c>
      <c r="AG97" s="2">
        <f t="shared" si="106"/>
        <v>5.7391807999999997</v>
      </c>
      <c r="AH97" s="1">
        <f t="shared" si="131"/>
        <v>25.788</v>
      </c>
      <c r="AI97" s="2">
        <f t="shared" si="89"/>
        <v>6.2382399999999993</v>
      </c>
      <c r="AJ97" s="2">
        <f t="shared" si="123"/>
        <v>6.2382399999999993</v>
      </c>
      <c r="AK97" s="1">
        <f t="shared" si="107"/>
        <v>8.4840064000000002</v>
      </c>
      <c r="AL97" s="2">
        <f t="shared" si="108"/>
        <v>6.2382399999999993</v>
      </c>
      <c r="AM97" s="2">
        <f t="shared" si="109"/>
        <v>6.2382399999999993</v>
      </c>
      <c r="AN97" s="1">
        <f t="shared" si="110"/>
        <v>6.2382399999999993</v>
      </c>
      <c r="AO97" s="1">
        <f t="shared" si="111"/>
        <v>6.2382399999999993</v>
      </c>
      <c r="AP97" s="2">
        <f t="shared" si="112"/>
        <v>5.0465520000000001</v>
      </c>
      <c r="AQ97" s="2">
        <f t="shared" si="124"/>
        <v>6.2382399999999993</v>
      </c>
      <c r="AR97" s="1">
        <f t="shared" si="132"/>
        <v>18.420000000000002</v>
      </c>
      <c r="AS97" s="2">
        <f t="shared" si="81"/>
        <v>12.616379999999999</v>
      </c>
      <c r="AT97" s="2">
        <f t="shared" si="113"/>
        <v>6.2382399999999993</v>
      </c>
      <c r="AU97" s="2">
        <v>7.7788120500000026</v>
      </c>
      <c r="AV97" s="2">
        <f t="shared" si="127"/>
        <v>5.5512072000000003</v>
      </c>
      <c r="AW97" s="2">
        <f t="shared" si="114"/>
        <v>6.2382399999999993</v>
      </c>
      <c r="AX97" s="1">
        <f t="shared" si="129"/>
        <v>5.9263279999999989</v>
      </c>
      <c r="AY97" s="2" t="str">
        <f t="shared" si="115"/>
        <v>5.49 Per Unit</v>
      </c>
      <c r="AZ97" s="2">
        <f t="shared" si="116"/>
        <v>6.2382399999999993</v>
      </c>
      <c r="BA97" s="2">
        <f t="shared" si="82"/>
        <v>6.2382399999999993</v>
      </c>
      <c r="BB97" s="2">
        <f t="shared" si="83"/>
        <v>6.2382399999999993</v>
      </c>
      <c r="BC97" s="2">
        <f t="shared" si="84"/>
        <v>6.2382399999999993</v>
      </c>
      <c r="BD97" s="2">
        <f t="shared" si="85"/>
        <v>6.8620640000000002</v>
      </c>
      <c r="BE97" s="2">
        <f t="shared" si="86"/>
        <v>5.6144159999999994</v>
      </c>
      <c r="BF97" s="2">
        <f t="shared" si="133"/>
        <v>31.314000000000004</v>
      </c>
      <c r="BG97" s="2">
        <f t="shared" si="117"/>
        <v>6.2382399999999993</v>
      </c>
      <c r="BH97" s="2" t="str">
        <f t="shared" si="118"/>
        <v>5.93 Per Unit</v>
      </c>
      <c r="BI97" s="1">
        <f t="shared" si="125"/>
        <v>7.4858879999999992</v>
      </c>
      <c r="BJ97" s="2">
        <f t="shared" si="126"/>
        <v>6.2382399999999993</v>
      </c>
      <c r="BK97" s="2">
        <f t="shared" si="119"/>
        <v>5.9263279999999989</v>
      </c>
      <c r="BL97" s="2">
        <f t="shared" si="120"/>
        <v>6.2382399999999993</v>
      </c>
      <c r="BM97" s="1">
        <v>5.5259999999999998</v>
      </c>
      <c r="BN97" s="2">
        <f t="shared" si="121"/>
        <v>6.2382399999999993</v>
      </c>
      <c r="BO97" s="2">
        <f>MIN(N97:BN97:BN97)</f>
        <v>5.0465520000000001</v>
      </c>
      <c r="BP97" s="2">
        <f t="shared" si="122"/>
        <v>31.314000000000004</v>
      </c>
      <c r="BQ97" s="22"/>
    </row>
    <row r="98" spans="1:69" ht="20.100000000000001" customHeight="1" x14ac:dyDescent="0.2">
      <c r="A98" s="17">
        <f t="shared" si="128"/>
        <v>96</v>
      </c>
      <c r="B98" s="24">
        <v>82652</v>
      </c>
      <c r="C98" s="24">
        <v>3018265200</v>
      </c>
      <c r="D98" s="19" t="s">
        <v>168</v>
      </c>
      <c r="E98" s="18" t="s">
        <v>103</v>
      </c>
      <c r="F98" s="33">
        <v>231</v>
      </c>
      <c r="G98" s="24">
        <v>300</v>
      </c>
      <c r="H98" s="12">
        <v>0</v>
      </c>
      <c r="I98" s="24">
        <v>0</v>
      </c>
      <c r="J98" s="2">
        <f t="shared" ref="J98:J113" si="134">L98*1.3</f>
        <v>50.8508</v>
      </c>
      <c r="K98" s="21" t="s">
        <v>104</v>
      </c>
      <c r="L98" s="1">
        <v>39.116</v>
      </c>
      <c r="M98" s="2">
        <v>33.223134000000002</v>
      </c>
      <c r="N98" s="12">
        <f>46.05*1.8</f>
        <v>82.89</v>
      </c>
      <c r="O98" s="2">
        <f t="shared" ref="O98:O113" si="135">L98</f>
        <v>39.116</v>
      </c>
      <c r="P98" s="1">
        <f t="shared" si="130"/>
        <v>150.15</v>
      </c>
      <c r="Q98" s="2">
        <f t="shared" ref="Q98:Q113" si="136">L98</f>
        <v>39.116</v>
      </c>
      <c r="R98" s="1">
        <f t="shared" ref="R98:R113" si="137">L98*1.1</f>
        <v>43.0276</v>
      </c>
      <c r="S98" s="2">
        <f t="shared" ref="S98:S113" si="138">L98</f>
        <v>39.116</v>
      </c>
      <c r="T98" s="2">
        <v>47.188831999999998</v>
      </c>
      <c r="U98" s="1"/>
      <c r="V98" s="1">
        <v>133.6</v>
      </c>
      <c r="W98" s="2">
        <f t="shared" ref="W98:W113" si="139">L98</f>
        <v>39.116</v>
      </c>
      <c r="X98" s="2">
        <f t="shared" ref="X98:X113" si="140">L98</f>
        <v>39.116</v>
      </c>
      <c r="Y98" s="2">
        <f t="shared" ref="Y98:Y113" si="141">L98</f>
        <v>39.116</v>
      </c>
      <c r="Z98" s="2">
        <v>56.33</v>
      </c>
      <c r="AA98" s="2">
        <f t="shared" ref="AA98:AA113" si="142">L98*0.95</f>
        <v>37.160199999999996</v>
      </c>
      <c r="AB98" s="2">
        <f t="shared" ref="AB98:AB113" si="143">L98*0.95</f>
        <v>37.160199999999996</v>
      </c>
      <c r="AC98" s="2">
        <f t="shared" ref="AC98:AC113" si="144">L98</f>
        <v>39.116</v>
      </c>
      <c r="AD98" s="1">
        <f t="shared" ref="AD98:AD113" si="145">L98*1.05</f>
        <v>41.071800000000003</v>
      </c>
      <c r="AE98" s="2">
        <f t="shared" ref="AE98:AE113" si="146">L98</f>
        <v>39.116</v>
      </c>
      <c r="AF98" s="2">
        <f t="shared" ref="AF98:AF113" si="147">L98</f>
        <v>39.116</v>
      </c>
      <c r="AG98" s="2">
        <f t="shared" ref="AG98:AG113" si="148">L98*0.92</f>
        <v>35.986719999999998</v>
      </c>
      <c r="AH98" s="1">
        <f t="shared" si="131"/>
        <v>161.69999999999999</v>
      </c>
      <c r="AI98" s="2">
        <f t="shared" si="89"/>
        <v>39.116</v>
      </c>
      <c r="AJ98" s="2">
        <f t="shared" si="123"/>
        <v>39.116</v>
      </c>
      <c r="AK98" s="1">
        <f t="shared" ref="AK98:AK113" si="149">L98*1.36</f>
        <v>53.197760000000002</v>
      </c>
      <c r="AL98" s="2">
        <f t="shared" ref="AL98:AL113" si="150">L98</f>
        <v>39.116</v>
      </c>
      <c r="AM98" s="2">
        <f t="shared" ref="AM98:AM113" si="151">L98</f>
        <v>39.116</v>
      </c>
      <c r="AN98" s="1">
        <f t="shared" ref="AN98:AN113" si="152">L98</f>
        <v>39.116</v>
      </c>
      <c r="AO98" s="1">
        <f t="shared" ref="AO98:AO113" si="153">L98</f>
        <v>39.116</v>
      </c>
      <c r="AP98" s="2">
        <f t="shared" ref="AP98:AP113" si="154">M98</f>
        <v>33.223134000000002</v>
      </c>
      <c r="AQ98" s="2">
        <f t="shared" si="124"/>
        <v>39.116</v>
      </c>
      <c r="AR98" s="1">
        <f t="shared" si="132"/>
        <v>115.5</v>
      </c>
      <c r="AS98" s="2">
        <f t="shared" si="81"/>
        <v>83.057835000000011</v>
      </c>
      <c r="AT98" s="2">
        <f t="shared" ref="AT98:AT113" si="155">L98</f>
        <v>39.116</v>
      </c>
      <c r="AU98" s="2">
        <v>48.775938750000016</v>
      </c>
      <c r="AV98" s="2">
        <f t="shared" si="127"/>
        <v>36.545447400000008</v>
      </c>
      <c r="AW98" s="2">
        <f t="shared" ref="AW98:AW113" si="156">L98</f>
        <v>39.116</v>
      </c>
      <c r="AX98" s="1">
        <f t="shared" si="129"/>
        <v>37.160199999999996</v>
      </c>
      <c r="AY98" s="2" t="str">
        <f t="shared" ref="AY98:AY113" si="157">CONCATENATE(ROUND(L98*0.88,2)," ",K98)</f>
        <v>34.42 Per Unit</v>
      </c>
      <c r="AZ98" s="2">
        <f t="shared" ref="AZ98:AZ113" si="158">L98</f>
        <v>39.116</v>
      </c>
      <c r="BA98" s="2">
        <f t="shared" si="82"/>
        <v>39.116</v>
      </c>
      <c r="BB98" s="2">
        <f t="shared" si="83"/>
        <v>39.116</v>
      </c>
      <c r="BC98" s="2">
        <f t="shared" si="84"/>
        <v>39.116</v>
      </c>
      <c r="BD98" s="2">
        <f t="shared" si="85"/>
        <v>43.0276</v>
      </c>
      <c r="BE98" s="2">
        <f t="shared" si="86"/>
        <v>35.2044</v>
      </c>
      <c r="BF98" s="2">
        <f t="shared" si="133"/>
        <v>196.35</v>
      </c>
      <c r="BG98" s="2">
        <f t="shared" ref="BG98:BG113" si="159">L98</f>
        <v>39.116</v>
      </c>
      <c r="BH98" s="2" t="str">
        <f t="shared" ref="BH98:BH113" si="160">CONCATENATE(ROUND(L98*0.95,2)," ",K98)</f>
        <v>37.16 Per Unit</v>
      </c>
      <c r="BI98" s="1">
        <f t="shared" si="125"/>
        <v>46.9392</v>
      </c>
      <c r="BJ98" s="2">
        <f t="shared" si="126"/>
        <v>39.116</v>
      </c>
      <c r="BK98" s="2">
        <f t="shared" ref="BK98:BK113" si="161">L98*0.95</f>
        <v>37.160199999999996</v>
      </c>
      <c r="BL98" s="2">
        <f t="shared" ref="BL98:BL113" si="162">L98</f>
        <v>39.116</v>
      </c>
      <c r="BM98" s="1">
        <v>34.65</v>
      </c>
      <c r="BN98" s="2">
        <f t="shared" ref="BN98:BN113" si="163">L98</f>
        <v>39.116</v>
      </c>
      <c r="BO98" s="2">
        <f>MIN(N98:BN98:BN98)</f>
        <v>33.223134000000002</v>
      </c>
      <c r="BP98" s="2">
        <f t="shared" si="122"/>
        <v>196.35</v>
      </c>
      <c r="BQ98" s="22"/>
    </row>
    <row r="99" spans="1:69" ht="20.100000000000001" customHeight="1" x14ac:dyDescent="0.2">
      <c r="A99" s="17">
        <f t="shared" si="128"/>
        <v>97</v>
      </c>
      <c r="B99" s="24">
        <v>81050</v>
      </c>
      <c r="C99" s="24">
        <v>3078105000</v>
      </c>
      <c r="D99" s="19" t="s">
        <v>169</v>
      </c>
      <c r="E99" s="18" t="s">
        <v>103</v>
      </c>
      <c r="F99" s="33">
        <v>21.84</v>
      </c>
      <c r="G99" s="24">
        <v>307</v>
      </c>
      <c r="H99" s="12">
        <v>0</v>
      </c>
      <c r="I99" s="24">
        <v>0</v>
      </c>
      <c r="J99" s="2">
        <f t="shared" si="134"/>
        <v>4.8077120000000004</v>
      </c>
      <c r="K99" s="21" t="s">
        <v>104</v>
      </c>
      <c r="L99" s="1">
        <v>3.6982400000000002</v>
      </c>
      <c r="M99" s="2">
        <v>1.4118330000000001</v>
      </c>
      <c r="N99" s="12">
        <f>3.59*1.8</f>
        <v>6.4619999999999997</v>
      </c>
      <c r="O99" s="2">
        <f t="shared" si="135"/>
        <v>3.6982400000000002</v>
      </c>
      <c r="P99" s="1">
        <f t="shared" si="130"/>
        <v>14.196</v>
      </c>
      <c r="Q99" s="2">
        <f t="shared" si="136"/>
        <v>3.6982400000000002</v>
      </c>
      <c r="R99" s="1">
        <f t="shared" si="137"/>
        <v>4.0680640000000006</v>
      </c>
      <c r="S99" s="2">
        <f t="shared" si="138"/>
        <v>3.6982400000000002</v>
      </c>
      <c r="T99" s="2">
        <v>4.0102019999999996</v>
      </c>
      <c r="U99" s="1"/>
      <c r="V99" s="1">
        <v>12.63</v>
      </c>
      <c r="W99" s="2">
        <f t="shared" si="139"/>
        <v>3.6982400000000002</v>
      </c>
      <c r="X99" s="2">
        <f t="shared" si="140"/>
        <v>3.6982400000000002</v>
      </c>
      <c r="Y99" s="2">
        <f t="shared" si="141"/>
        <v>3.6982400000000002</v>
      </c>
      <c r="Z99" s="2">
        <v>5.34</v>
      </c>
      <c r="AA99" s="2">
        <f t="shared" si="142"/>
        <v>3.513328</v>
      </c>
      <c r="AB99" s="2">
        <f t="shared" si="143"/>
        <v>3.513328</v>
      </c>
      <c r="AC99" s="2">
        <f t="shared" si="144"/>
        <v>3.6982400000000002</v>
      </c>
      <c r="AD99" s="1">
        <f t="shared" si="145"/>
        <v>3.8831520000000004</v>
      </c>
      <c r="AE99" s="2">
        <f t="shared" si="146"/>
        <v>3.6982400000000002</v>
      </c>
      <c r="AF99" s="2">
        <f t="shared" si="147"/>
        <v>3.6982400000000002</v>
      </c>
      <c r="AG99" s="2">
        <f t="shared" si="148"/>
        <v>3.4023808000000004</v>
      </c>
      <c r="AH99" s="1">
        <f t="shared" si="131"/>
        <v>15.287999999999998</v>
      </c>
      <c r="AI99" s="2">
        <f t="shared" si="89"/>
        <v>3.6982400000000002</v>
      </c>
      <c r="AJ99" s="2">
        <f t="shared" si="123"/>
        <v>3.6982400000000002</v>
      </c>
      <c r="AK99" s="1">
        <f t="shared" si="149"/>
        <v>5.0296064000000005</v>
      </c>
      <c r="AL99" s="2">
        <f t="shared" si="150"/>
        <v>3.6982400000000002</v>
      </c>
      <c r="AM99" s="2">
        <f t="shared" si="151"/>
        <v>3.6982400000000002</v>
      </c>
      <c r="AN99" s="1">
        <f t="shared" si="152"/>
        <v>3.6982400000000002</v>
      </c>
      <c r="AO99" s="1">
        <f t="shared" si="153"/>
        <v>3.6982400000000002</v>
      </c>
      <c r="AP99" s="2">
        <f t="shared" si="154"/>
        <v>1.4118330000000001</v>
      </c>
      <c r="AQ99" s="2">
        <f t="shared" si="124"/>
        <v>3.6982400000000002</v>
      </c>
      <c r="AR99" s="1">
        <f t="shared" si="132"/>
        <v>10.92</v>
      </c>
      <c r="AS99" s="2">
        <f t="shared" ref="AS99:AS113" si="164">M99*2.5</f>
        <v>3.5295825000000001</v>
      </c>
      <c r="AT99" s="2">
        <f t="shared" si="155"/>
        <v>3.6982400000000002</v>
      </c>
      <c r="AU99" s="2">
        <v>4.611543300000001</v>
      </c>
      <c r="AV99" s="2">
        <f t="shared" si="127"/>
        <v>1.5530163000000003</v>
      </c>
      <c r="AW99" s="2">
        <f t="shared" si="156"/>
        <v>3.6982400000000002</v>
      </c>
      <c r="AX99" s="1">
        <f t="shared" si="129"/>
        <v>3.513328</v>
      </c>
      <c r="AY99" s="2" t="str">
        <f t="shared" si="157"/>
        <v>3.25 Per Unit</v>
      </c>
      <c r="AZ99" s="2">
        <f t="shared" si="158"/>
        <v>3.6982400000000002</v>
      </c>
      <c r="BA99" s="2">
        <f t="shared" ref="BA99:BA113" si="165">L99</f>
        <v>3.6982400000000002</v>
      </c>
      <c r="BB99" s="2">
        <f t="shared" ref="BB99:BB113" si="166">L99</f>
        <v>3.6982400000000002</v>
      </c>
      <c r="BC99" s="2">
        <f t="shared" ref="BC99:BC113" si="167">L99</f>
        <v>3.6982400000000002</v>
      </c>
      <c r="BD99" s="2">
        <f t="shared" ref="BD99:BD113" si="168">L99*1.1</f>
        <v>4.0680640000000006</v>
      </c>
      <c r="BE99" s="2">
        <f t="shared" ref="BE99:BE113" si="169">L99*0.9</f>
        <v>3.3284160000000003</v>
      </c>
      <c r="BF99" s="2">
        <f t="shared" si="133"/>
        <v>18.564</v>
      </c>
      <c r="BG99" s="2">
        <f t="shared" si="159"/>
        <v>3.6982400000000002</v>
      </c>
      <c r="BH99" s="2" t="str">
        <f t="shared" si="160"/>
        <v>3.51 Per Unit</v>
      </c>
      <c r="BI99" s="1">
        <f t="shared" si="125"/>
        <v>4.4378880000000001</v>
      </c>
      <c r="BJ99" s="2">
        <f t="shared" si="126"/>
        <v>3.6982400000000002</v>
      </c>
      <c r="BK99" s="2">
        <f t="shared" si="161"/>
        <v>3.513328</v>
      </c>
      <c r="BL99" s="2">
        <f t="shared" si="162"/>
        <v>3.6982400000000002</v>
      </c>
      <c r="BM99" s="1">
        <v>3.2760000000000002</v>
      </c>
      <c r="BN99" s="2">
        <f t="shared" si="163"/>
        <v>3.6982400000000002</v>
      </c>
      <c r="BO99" s="2">
        <f>MIN(N99:BN99:BN99)</f>
        <v>1.4118330000000001</v>
      </c>
      <c r="BP99" s="2">
        <f t="shared" ref="BP99:BP114" si="170">MAX(N99:BN99)</f>
        <v>18.564</v>
      </c>
      <c r="BQ99" s="22"/>
    </row>
    <row r="100" spans="1:69" ht="20.100000000000001" customHeight="1" x14ac:dyDescent="0.2">
      <c r="A100" s="17">
        <f t="shared" si="128"/>
        <v>98</v>
      </c>
      <c r="B100" s="24">
        <v>82330</v>
      </c>
      <c r="C100" s="24">
        <v>3018233000</v>
      </c>
      <c r="D100" s="19" t="s">
        <v>170</v>
      </c>
      <c r="E100" s="18" t="s">
        <v>103</v>
      </c>
      <c r="F100" s="33">
        <v>82.08</v>
      </c>
      <c r="G100" s="24">
        <v>301</v>
      </c>
      <c r="H100" s="12">
        <v>0</v>
      </c>
      <c r="I100" s="24">
        <v>0</v>
      </c>
      <c r="J100" s="2">
        <f t="shared" si="134"/>
        <v>18.068543999999999</v>
      </c>
      <c r="K100" s="21" t="s">
        <v>104</v>
      </c>
      <c r="L100" s="1">
        <v>13.89888</v>
      </c>
      <c r="M100" s="2">
        <v>12.175808000000002</v>
      </c>
      <c r="N100" s="12">
        <f>16.35*1.8</f>
        <v>29.430000000000003</v>
      </c>
      <c r="O100" s="2">
        <f t="shared" si="135"/>
        <v>13.89888</v>
      </c>
      <c r="P100" s="1">
        <f t="shared" si="130"/>
        <v>53.352000000000004</v>
      </c>
      <c r="Q100" s="2">
        <f t="shared" si="136"/>
        <v>13.89888</v>
      </c>
      <c r="R100" s="1">
        <f t="shared" si="137"/>
        <v>15.288768000000001</v>
      </c>
      <c r="S100" s="2">
        <f t="shared" si="138"/>
        <v>13.89888</v>
      </c>
      <c r="T100" s="2">
        <v>21.536270000000002</v>
      </c>
      <c r="U100" s="1"/>
      <c r="V100" s="1">
        <v>57.88</v>
      </c>
      <c r="W100" s="2">
        <f t="shared" si="139"/>
        <v>13.89888</v>
      </c>
      <c r="X100" s="2">
        <f t="shared" si="140"/>
        <v>13.89888</v>
      </c>
      <c r="Y100" s="2">
        <f t="shared" si="141"/>
        <v>13.89888</v>
      </c>
      <c r="Z100" s="2">
        <v>20.010000000000002</v>
      </c>
      <c r="AA100" s="2">
        <f t="shared" si="142"/>
        <v>13.203935999999999</v>
      </c>
      <c r="AB100" s="2">
        <f t="shared" si="143"/>
        <v>13.203935999999999</v>
      </c>
      <c r="AC100" s="2">
        <f t="shared" si="144"/>
        <v>13.89888</v>
      </c>
      <c r="AD100" s="1">
        <f t="shared" si="145"/>
        <v>14.593824000000001</v>
      </c>
      <c r="AE100" s="2">
        <f t="shared" si="146"/>
        <v>13.89888</v>
      </c>
      <c r="AF100" s="2">
        <f t="shared" si="147"/>
        <v>13.89888</v>
      </c>
      <c r="AG100" s="2">
        <f t="shared" si="148"/>
        <v>12.786969600000001</v>
      </c>
      <c r="AH100" s="1">
        <f t="shared" si="131"/>
        <v>57.455999999999996</v>
      </c>
      <c r="AI100" s="2">
        <f t="shared" ref="AI100:AI113" si="171">L100</f>
        <v>13.89888</v>
      </c>
      <c r="AJ100" s="2">
        <f t="shared" si="123"/>
        <v>13.89888</v>
      </c>
      <c r="AK100" s="1">
        <f t="shared" si="149"/>
        <v>18.902476800000002</v>
      </c>
      <c r="AL100" s="2">
        <f t="shared" si="150"/>
        <v>13.89888</v>
      </c>
      <c r="AM100" s="2">
        <f t="shared" si="151"/>
        <v>13.89888</v>
      </c>
      <c r="AN100" s="1">
        <f t="shared" si="152"/>
        <v>13.89888</v>
      </c>
      <c r="AO100" s="1">
        <f t="shared" si="153"/>
        <v>13.89888</v>
      </c>
      <c r="AP100" s="2">
        <f t="shared" si="154"/>
        <v>12.175808000000002</v>
      </c>
      <c r="AQ100" s="2">
        <f t="shared" ref="AQ100:AQ113" si="172">L100</f>
        <v>13.89888</v>
      </c>
      <c r="AR100" s="1">
        <f t="shared" si="132"/>
        <v>41.04</v>
      </c>
      <c r="AS100" s="2">
        <f t="shared" si="164"/>
        <v>30.439520000000005</v>
      </c>
      <c r="AT100" s="2">
        <f t="shared" si="155"/>
        <v>13.89888</v>
      </c>
      <c r="AU100" s="2">
        <v>17.331294600000003</v>
      </c>
      <c r="AV100" s="2">
        <f t="shared" si="127"/>
        <v>13.393388800000004</v>
      </c>
      <c r="AW100" s="2">
        <f t="shared" si="156"/>
        <v>13.89888</v>
      </c>
      <c r="AX100" s="1">
        <f t="shared" si="129"/>
        <v>13.203935999999999</v>
      </c>
      <c r="AY100" s="2" t="str">
        <f t="shared" si="157"/>
        <v>12.23 Per Unit</v>
      </c>
      <c r="AZ100" s="2">
        <f t="shared" si="158"/>
        <v>13.89888</v>
      </c>
      <c r="BA100" s="2">
        <f t="shared" si="165"/>
        <v>13.89888</v>
      </c>
      <c r="BB100" s="2">
        <f t="shared" si="166"/>
        <v>13.89888</v>
      </c>
      <c r="BC100" s="2">
        <f t="shared" si="167"/>
        <v>13.89888</v>
      </c>
      <c r="BD100" s="2">
        <f t="shared" si="168"/>
        <v>15.288768000000001</v>
      </c>
      <c r="BE100" s="2">
        <f t="shared" si="169"/>
        <v>12.508992000000001</v>
      </c>
      <c r="BF100" s="2">
        <f t="shared" si="133"/>
        <v>69.768000000000001</v>
      </c>
      <c r="BG100" s="2">
        <f t="shared" si="159"/>
        <v>13.89888</v>
      </c>
      <c r="BH100" s="2" t="str">
        <f t="shared" si="160"/>
        <v>13.2 Per Unit</v>
      </c>
      <c r="BI100" s="1">
        <f t="shared" ref="BI100:BI113" si="173">L100*1.2</f>
        <v>16.678656</v>
      </c>
      <c r="BJ100" s="2">
        <f t="shared" ref="BJ100:BJ113" si="174">L100</f>
        <v>13.89888</v>
      </c>
      <c r="BK100" s="2">
        <f t="shared" si="161"/>
        <v>13.203935999999999</v>
      </c>
      <c r="BL100" s="2">
        <f t="shared" si="162"/>
        <v>13.89888</v>
      </c>
      <c r="BM100" s="1">
        <v>12.311999999999999</v>
      </c>
      <c r="BN100" s="2">
        <f t="shared" si="163"/>
        <v>13.89888</v>
      </c>
      <c r="BO100" s="2">
        <f>MIN(N100:BN100:BN100)</f>
        <v>12.175808000000002</v>
      </c>
      <c r="BP100" s="2">
        <f t="shared" si="170"/>
        <v>69.768000000000001</v>
      </c>
      <c r="BQ100" s="22"/>
    </row>
    <row r="101" spans="1:69" ht="20.100000000000001" customHeight="1" x14ac:dyDescent="0.2">
      <c r="A101" s="17">
        <f t="shared" si="128"/>
        <v>99</v>
      </c>
      <c r="B101" s="24">
        <v>82670</v>
      </c>
      <c r="C101" s="24">
        <v>3018267000</v>
      </c>
      <c r="D101" s="19" t="s">
        <v>171</v>
      </c>
      <c r="E101" s="18" t="s">
        <v>103</v>
      </c>
      <c r="F101" s="33">
        <v>167.64</v>
      </c>
      <c r="G101" s="24">
        <v>301</v>
      </c>
      <c r="H101" s="12">
        <v>0</v>
      </c>
      <c r="I101" s="24">
        <v>0</v>
      </c>
      <c r="J101" s="2">
        <f t="shared" si="134"/>
        <v>36.903152000000006</v>
      </c>
      <c r="K101" s="21" t="s">
        <v>104</v>
      </c>
      <c r="L101" s="1">
        <v>28.387040000000002</v>
      </c>
      <c r="M101" s="2">
        <v>24.742123000000003</v>
      </c>
      <c r="N101" s="12">
        <f>33.42*1.8</f>
        <v>60.156000000000006</v>
      </c>
      <c r="O101" s="2">
        <f t="shared" si="135"/>
        <v>28.387040000000002</v>
      </c>
      <c r="P101" s="1">
        <f t="shared" si="130"/>
        <v>108.96599999999999</v>
      </c>
      <c r="Q101" s="2">
        <f t="shared" si="136"/>
        <v>28.387040000000002</v>
      </c>
      <c r="R101" s="1">
        <f t="shared" si="137"/>
        <v>31.225744000000006</v>
      </c>
      <c r="S101" s="2">
        <f t="shared" si="138"/>
        <v>28.387040000000002</v>
      </c>
      <c r="T101" s="2">
        <v>44.037959000000001</v>
      </c>
      <c r="U101" s="1"/>
      <c r="V101" s="1">
        <v>96.95</v>
      </c>
      <c r="W101" s="2">
        <f t="shared" si="139"/>
        <v>28.387040000000002</v>
      </c>
      <c r="X101" s="2">
        <f t="shared" si="140"/>
        <v>28.387040000000002</v>
      </c>
      <c r="Y101" s="2">
        <f t="shared" si="141"/>
        <v>28.387040000000002</v>
      </c>
      <c r="Z101" s="2">
        <v>40.86</v>
      </c>
      <c r="AA101" s="2">
        <f t="shared" si="142"/>
        <v>26.967688000000003</v>
      </c>
      <c r="AB101" s="2">
        <f t="shared" si="143"/>
        <v>26.967688000000003</v>
      </c>
      <c r="AC101" s="2">
        <f t="shared" si="144"/>
        <v>28.387040000000002</v>
      </c>
      <c r="AD101" s="1">
        <f t="shared" si="145"/>
        <v>29.806392000000002</v>
      </c>
      <c r="AE101" s="2">
        <f t="shared" si="146"/>
        <v>28.387040000000002</v>
      </c>
      <c r="AF101" s="2">
        <f t="shared" si="147"/>
        <v>28.387040000000002</v>
      </c>
      <c r="AG101" s="2">
        <f t="shared" si="148"/>
        <v>26.116076800000002</v>
      </c>
      <c r="AH101" s="1">
        <f t="shared" si="131"/>
        <v>117.34799999999998</v>
      </c>
      <c r="AI101" s="2">
        <f t="shared" si="171"/>
        <v>28.387040000000002</v>
      </c>
      <c r="AJ101" s="2">
        <f t="shared" si="123"/>
        <v>28.387040000000002</v>
      </c>
      <c r="AK101" s="1">
        <f t="shared" si="149"/>
        <v>38.606374400000007</v>
      </c>
      <c r="AL101" s="2">
        <f t="shared" si="150"/>
        <v>28.387040000000002</v>
      </c>
      <c r="AM101" s="2">
        <f t="shared" si="151"/>
        <v>28.387040000000002</v>
      </c>
      <c r="AN101" s="1">
        <f t="shared" si="152"/>
        <v>28.387040000000002</v>
      </c>
      <c r="AO101" s="1">
        <f t="shared" si="153"/>
        <v>28.387040000000002</v>
      </c>
      <c r="AP101" s="2">
        <f t="shared" si="154"/>
        <v>24.742123000000003</v>
      </c>
      <c r="AQ101" s="2">
        <f t="shared" si="172"/>
        <v>28.387040000000002</v>
      </c>
      <c r="AR101" s="1">
        <f t="shared" si="132"/>
        <v>83.82</v>
      </c>
      <c r="AS101" s="2">
        <f t="shared" si="164"/>
        <v>61.855307500000009</v>
      </c>
      <c r="AT101" s="2">
        <f t="shared" si="155"/>
        <v>28.387040000000002</v>
      </c>
      <c r="AU101" s="2">
        <v>35.397395550000006</v>
      </c>
      <c r="AV101" s="2">
        <f t="shared" si="127"/>
        <v>27.216335300000004</v>
      </c>
      <c r="AW101" s="2">
        <f t="shared" si="156"/>
        <v>28.387040000000002</v>
      </c>
      <c r="AX101" s="1">
        <f t="shared" si="129"/>
        <v>26.967688000000003</v>
      </c>
      <c r="AY101" s="2" t="str">
        <f t="shared" si="157"/>
        <v>24.98 Per Unit</v>
      </c>
      <c r="AZ101" s="2">
        <f t="shared" si="158"/>
        <v>28.387040000000002</v>
      </c>
      <c r="BA101" s="2">
        <f t="shared" si="165"/>
        <v>28.387040000000002</v>
      </c>
      <c r="BB101" s="2">
        <f t="shared" si="166"/>
        <v>28.387040000000002</v>
      </c>
      <c r="BC101" s="2">
        <f t="shared" si="167"/>
        <v>28.387040000000002</v>
      </c>
      <c r="BD101" s="2">
        <f t="shared" si="168"/>
        <v>31.225744000000006</v>
      </c>
      <c r="BE101" s="2">
        <f t="shared" si="169"/>
        <v>25.548336000000003</v>
      </c>
      <c r="BF101" s="2">
        <f t="shared" si="133"/>
        <v>142.49399999999997</v>
      </c>
      <c r="BG101" s="2">
        <f t="shared" si="159"/>
        <v>28.387040000000002</v>
      </c>
      <c r="BH101" s="2" t="str">
        <f t="shared" si="160"/>
        <v>26.97 Per Unit</v>
      </c>
      <c r="BI101" s="1">
        <f t="shared" si="173"/>
        <v>34.064447999999999</v>
      </c>
      <c r="BJ101" s="2">
        <f t="shared" si="174"/>
        <v>28.387040000000002</v>
      </c>
      <c r="BK101" s="2">
        <f t="shared" si="161"/>
        <v>26.967688000000003</v>
      </c>
      <c r="BL101" s="2">
        <f t="shared" si="162"/>
        <v>28.387040000000002</v>
      </c>
      <c r="BM101" s="1">
        <v>25.146000000000001</v>
      </c>
      <c r="BN101" s="2">
        <f t="shared" si="163"/>
        <v>28.387040000000002</v>
      </c>
      <c r="BO101" s="2">
        <f>MIN(N101:BN101:BN101)</f>
        <v>24.742123000000003</v>
      </c>
      <c r="BP101" s="2">
        <f t="shared" si="170"/>
        <v>142.49399999999997</v>
      </c>
      <c r="BQ101" s="22"/>
    </row>
    <row r="102" spans="1:69" ht="20.100000000000001" customHeight="1" x14ac:dyDescent="0.2">
      <c r="A102" s="17">
        <f t="shared" si="128"/>
        <v>100</v>
      </c>
      <c r="B102" s="24">
        <v>82140</v>
      </c>
      <c r="C102" s="24">
        <v>3018214000</v>
      </c>
      <c r="D102" s="19" t="s">
        <v>172</v>
      </c>
      <c r="E102" s="18" t="s">
        <v>103</v>
      </c>
      <c r="F102" s="33">
        <v>87.42</v>
      </c>
      <c r="G102" s="24">
        <v>300</v>
      </c>
      <c r="H102" s="12">
        <v>0</v>
      </c>
      <c r="I102" s="24">
        <v>0</v>
      </c>
      <c r="J102" s="2">
        <f t="shared" si="134"/>
        <v>19.244056</v>
      </c>
      <c r="K102" s="21" t="s">
        <v>104</v>
      </c>
      <c r="L102" s="1">
        <v>14.80312</v>
      </c>
      <c r="M102" s="2">
        <v>12.966835</v>
      </c>
      <c r="N102" s="12">
        <f>17.43*1.8</f>
        <v>31.373999999999999</v>
      </c>
      <c r="O102" s="2">
        <f t="shared" si="135"/>
        <v>14.80312</v>
      </c>
      <c r="P102" s="1">
        <f t="shared" si="130"/>
        <v>56.823</v>
      </c>
      <c r="Q102" s="2">
        <f t="shared" si="136"/>
        <v>14.80312</v>
      </c>
      <c r="R102" s="1">
        <f t="shared" si="137"/>
        <v>16.283432000000001</v>
      </c>
      <c r="S102" s="2">
        <f t="shared" si="138"/>
        <v>14.80312</v>
      </c>
      <c r="T102" s="2">
        <v>22.968484999999998</v>
      </c>
      <c r="U102" s="1"/>
      <c r="V102" s="1">
        <v>50.56</v>
      </c>
      <c r="W102" s="2">
        <f t="shared" si="139"/>
        <v>14.80312</v>
      </c>
      <c r="X102" s="2">
        <f t="shared" si="140"/>
        <v>14.80312</v>
      </c>
      <c r="Y102" s="2">
        <f t="shared" si="141"/>
        <v>14.80312</v>
      </c>
      <c r="Z102" s="2">
        <v>21.32</v>
      </c>
      <c r="AA102" s="2">
        <f t="shared" si="142"/>
        <v>14.062963999999999</v>
      </c>
      <c r="AB102" s="2">
        <f t="shared" si="143"/>
        <v>14.062963999999999</v>
      </c>
      <c r="AC102" s="2">
        <f t="shared" si="144"/>
        <v>14.80312</v>
      </c>
      <c r="AD102" s="1">
        <f t="shared" si="145"/>
        <v>15.543276000000001</v>
      </c>
      <c r="AE102" s="2">
        <f t="shared" si="146"/>
        <v>14.80312</v>
      </c>
      <c r="AF102" s="2">
        <f t="shared" si="147"/>
        <v>14.80312</v>
      </c>
      <c r="AG102" s="2">
        <f t="shared" si="148"/>
        <v>13.6188704</v>
      </c>
      <c r="AH102" s="1">
        <f t="shared" si="131"/>
        <v>61.193999999999996</v>
      </c>
      <c r="AI102" s="2">
        <f t="shared" si="171"/>
        <v>14.80312</v>
      </c>
      <c r="AJ102" s="2">
        <f t="shared" si="123"/>
        <v>14.80312</v>
      </c>
      <c r="AK102" s="1">
        <f t="shared" si="149"/>
        <v>20.132243200000001</v>
      </c>
      <c r="AL102" s="2">
        <f t="shared" si="150"/>
        <v>14.80312</v>
      </c>
      <c r="AM102" s="2">
        <f t="shared" si="151"/>
        <v>14.80312</v>
      </c>
      <c r="AN102" s="1">
        <f t="shared" si="152"/>
        <v>14.80312</v>
      </c>
      <c r="AO102" s="1">
        <f t="shared" si="153"/>
        <v>14.80312</v>
      </c>
      <c r="AP102" s="2">
        <f t="shared" si="154"/>
        <v>12.966835</v>
      </c>
      <c r="AQ102" s="2">
        <f t="shared" si="172"/>
        <v>14.80312</v>
      </c>
      <c r="AR102" s="1">
        <f t="shared" si="132"/>
        <v>43.71</v>
      </c>
      <c r="AS102" s="2">
        <f t="shared" si="164"/>
        <v>32.417087500000001</v>
      </c>
      <c r="AT102" s="2">
        <f t="shared" si="155"/>
        <v>14.80312</v>
      </c>
      <c r="AU102" s="2">
        <v>18.458842275000006</v>
      </c>
      <c r="AV102" s="2">
        <f t="shared" ref="AV102:AV113" si="175">M102*1.1</f>
        <v>14.2635185</v>
      </c>
      <c r="AW102" s="2">
        <f t="shared" si="156"/>
        <v>14.80312</v>
      </c>
      <c r="AX102" s="1">
        <f t="shared" si="129"/>
        <v>14.062963999999999</v>
      </c>
      <c r="AY102" s="2" t="str">
        <f t="shared" si="157"/>
        <v>13.03 Per Unit</v>
      </c>
      <c r="AZ102" s="2">
        <f t="shared" si="158"/>
        <v>14.80312</v>
      </c>
      <c r="BA102" s="2">
        <f t="shared" si="165"/>
        <v>14.80312</v>
      </c>
      <c r="BB102" s="2">
        <f t="shared" si="166"/>
        <v>14.80312</v>
      </c>
      <c r="BC102" s="2">
        <f t="shared" si="167"/>
        <v>14.80312</v>
      </c>
      <c r="BD102" s="2">
        <f t="shared" si="168"/>
        <v>16.283432000000001</v>
      </c>
      <c r="BE102" s="2">
        <f t="shared" si="169"/>
        <v>13.322808</v>
      </c>
      <c r="BF102" s="2">
        <f t="shared" si="133"/>
        <v>74.307000000000002</v>
      </c>
      <c r="BG102" s="2">
        <f t="shared" si="159"/>
        <v>14.80312</v>
      </c>
      <c r="BH102" s="2" t="str">
        <f t="shared" si="160"/>
        <v>14.06 Per Unit</v>
      </c>
      <c r="BI102" s="1">
        <f t="shared" si="173"/>
        <v>17.763743999999999</v>
      </c>
      <c r="BJ102" s="2">
        <f t="shared" si="174"/>
        <v>14.80312</v>
      </c>
      <c r="BK102" s="2">
        <f t="shared" si="161"/>
        <v>14.062963999999999</v>
      </c>
      <c r="BL102" s="2">
        <f t="shared" si="162"/>
        <v>14.80312</v>
      </c>
      <c r="BM102" s="1">
        <v>13.113000000000001</v>
      </c>
      <c r="BN102" s="2">
        <f t="shared" si="163"/>
        <v>14.80312</v>
      </c>
      <c r="BO102" s="2">
        <f>MIN(N102:BN102:BN102)</f>
        <v>12.966835</v>
      </c>
      <c r="BP102" s="2">
        <f t="shared" si="170"/>
        <v>74.307000000000002</v>
      </c>
      <c r="BQ102" s="22"/>
    </row>
    <row r="103" spans="1:69" ht="20.100000000000001" customHeight="1" x14ac:dyDescent="0.2">
      <c r="A103" s="17">
        <f t="shared" si="128"/>
        <v>101</v>
      </c>
      <c r="B103" s="24">
        <v>83690</v>
      </c>
      <c r="C103" s="24">
        <v>3018369000</v>
      </c>
      <c r="D103" s="19" t="s">
        <v>173</v>
      </c>
      <c r="E103" s="18" t="s">
        <v>103</v>
      </c>
      <c r="F103" s="33">
        <v>41.34</v>
      </c>
      <c r="G103" s="24">
        <v>301</v>
      </c>
      <c r="H103" s="12">
        <v>0</v>
      </c>
      <c r="I103" s="24">
        <v>0</v>
      </c>
      <c r="J103" s="2">
        <f t="shared" si="134"/>
        <v>9.1003120000000006</v>
      </c>
      <c r="K103" s="21" t="s">
        <v>104</v>
      </c>
      <c r="L103" s="1">
        <v>7.0002399999999998</v>
      </c>
      <c r="M103" s="2">
        <v>6.0879040000000009</v>
      </c>
      <c r="N103" s="12">
        <f>8.24*1.8</f>
        <v>14.832000000000001</v>
      </c>
      <c r="O103" s="2">
        <f t="shared" si="135"/>
        <v>7.0002399999999998</v>
      </c>
      <c r="P103" s="1">
        <f t="shared" si="130"/>
        <v>26.871000000000002</v>
      </c>
      <c r="Q103" s="2">
        <f t="shared" si="136"/>
        <v>7.0002399999999998</v>
      </c>
      <c r="R103" s="1">
        <f t="shared" si="137"/>
        <v>7.7002640000000007</v>
      </c>
      <c r="S103" s="2">
        <f t="shared" si="138"/>
        <v>7.0002399999999998</v>
      </c>
      <c r="T103" s="2">
        <v>10.842398000000001</v>
      </c>
      <c r="U103" s="1"/>
      <c r="V103" s="1">
        <v>23.91</v>
      </c>
      <c r="W103" s="2">
        <f t="shared" si="139"/>
        <v>7.0002399999999998</v>
      </c>
      <c r="X103" s="2">
        <f t="shared" si="140"/>
        <v>7.0002399999999998</v>
      </c>
      <c r="Y103" s="2">
        <f t="shared" si="141"/>
        <v>7.0002399999999998</v>
      </c>
      <c r="Z103" s="2">
        <v>10.08</v>
      </c>
      <c r="AA103" s="2">
        <f t="shared" si="142"/>
        <v>6.6502279999999994</v>
      </c>
      <c r="AB103" s="2">
        <f t="shared" si="143"/>
        <v>6.6502279999999994</v>
      </c>
      <c r="AC103" s="2">
        <f t="shared" si="144"/>
        <v>7.0002399999999998</v>
      </c>
      <c r="AD103" s="1">
        <f t="shared" si="145"/>
        <v>7.3502520000000002</v>
      </c>
      <c r="AE103" s="2">
        <f t="shared" si="146"/>
        <v>7.0002399999999998</v>
      </c>
      <c r="AF103" s="2">
        <f t="shared" si="147"/>
        <v>7.0002399999999998</v>
      </c>
      <c r="AG103" s="2">
        <f t="shared" si="148"/>
        <v>6.4402208000000005</v>
      </c>
      <c r="AH103" s="1">
        <f t="shared" si="131"/>
        <v>28.937999999999999</v>
      </c>
      <c r="AI103" s="2">
        <f t="shared" si="171"/>
        <v>7.0002399999999998</v>
      </c>
      <c r="AJ103" s="2">
        <f t="shared" si="123"/>
        <v>7.0002399999999998</v>
      </c>
      <c r="AK103" s="1">
        <f t="shared" si="149"/>
        <v>9.5203264000000001</v>
      </c>
      <c r="AL103" s="2">
        <f t="shared" si="150"/>
        <v>7.0002399999999998</v>
      </c>
      <c r="AM103" s="2">
        <f t="shared" si="151"/>
        <v>7.0002399999999998</v>
      </c>
      <c r="AN103" s="1">
        <f t="shared" si="152"/>
        <v>7.0002399999999998</v>
      </c>
      <c r="AO103" s="1">
        <f t="shared" si="153"/>
        <v>7.0002399999999998</v>
      </c>
      <c r="AP103" s="2">
        <f t="shared" si="154"/>
        <v>6.0879040000000009</v>
      </c>
      <c r="AQ103" s="2">
        <f t="shared" si="172"/>
        <v>7.0002399999999998</v>
      </c>
      <c r="AR103" s="1">
        <f t="shared" si="132"/>
        <v>20.67</v>
      </c>
      <c r="AS103" s="2">
        <f t="shared" si="164"/>
        <v>15.219760000000003</v>
      </c>
      <c r="AT103" s="2">
        <f t="shared" si="155"/>
        <v>7.0002399999999998</v>
      </c>
      <c r="AU103" s="2">
        <v>8.7289926750000024</v>
      </c>
      <c r="AV103" s="2">
        <f t="shared" si="175"/>
        <v>6.6966944000000019</v>
      </c>
      <c r="AW103" s="2">
        <f t="shared" si="156"/>
        <v>7.0002399999999998</v>
      </c>
      <c r="AX103" s="1">
        <f t="shared" si="129"/>
        <v>6.6502279999999994</v>
      </c>
      <c r="AY103" s="2" t="str">
        <f t="shared" si="157"/>
        <v>6.16 Per Unit</v>
      </c>
      <c r="AZ103" s="2">
        <f t="shared" si="158"/>
        <v>7.0002399999999998</v>
      </c>
      <c r="BA103" s="2">
        <f t="shared" si="165"/>
        <v>7.0002399999999998</v>
      </c>
      <c r="BB103" s="2">
        <f t="shared" si="166"/>
        <v>7.0002399999999998</v>
      </c>
      <c r="BC103" s="2">
        <f t="shared" si="167"/>
        <v>7.0002399999999998</v>
      </c>
      <c r="BD103" s="2">
        <f t="shared" si="168"/>
        <v>7.7002640000000007</v>
      </c>
      <c r="BE103" s="2">
        <f t="shared" si="169"/>
        <v>6.3002159999999998</v>
      </c>
      <c r="BF103" s="2">
        <f t="shared" si="133"/>
        <v>35.139000000000003</v>
      </c>
      <c r="BG103" s="2">
        <f t="shared" si="159"/>
        <v>7.0002399999999998</v>
      </c>
      <c r="BH103" s="2" t="str">
        <f t="shared" si="160"/>
        <v>6.65 Per Unit</v>
      </c>
      <c r="BI103" s="1">
        <f t="shared" si="173"/>
        <v>8.4002879999999998</v>
      </c>
      <c r="BJ103" s="2">
        <f t="shared" si="174"/>
        <v>7.0002399999999998</v>
      </c>
      <c r="BK103" s="2">
        <f t="shared" si="161"/>
        <v>6.6502279999999994</v>
      </c>
      <c r="BL103" s="2">
        <f t="shared" si="162"/>
        <v>7.0002399999999998</v>
      </c>
      <c r="BM103" s="1">
        <v>6.2009999999999996</v>
      </c>
      <c r="BN103" s="2">
        <f t="shared" si="163"/>
        <v>7.0002399999999998</v>
      </c>
      <c r="BO103" s="2">
        <f>MIN(N103:BN103:BN103)</f>
        <v>6.0879040000000009</v>
      </c>
      <c r="BP103" s="2">
        <f t="shared" si="170"/>
        <v>35.139000000000003</v>
      </c>
      <c r="BQ103" s="22"/>
    </row>
    <row r="104" spans="1:69" ht="20.100000000000001" customHeight="1" x14ac:dyDescent="0.2">
      <c r="A104" s="17">
        <f t="shared" si="128"/>
        <v>102</v>
      </c>
      <c r="B104" s="24">
        <v>86376</v>
      </c>
      <c r="C104" s="24">
        <v>3028637600</v>
      </c>
      <c r="D104" s="19" t="s">
        <v>174</v>
      </c>
      <c r="E104" s="18" t="s">
        <v>103</v>
      </c>
      <c r="F104" s="33">
        <v>87.3</v>
      </c>
      <c r="G104" s="24">
        <v>301</v>
      </c>
      <c r="H104" s="12">
        <v>0</v>
      </c>
      <c r="I104" s="24">
        <v>0</v>
      </c>
      <c r="J104" s="2">
        <f t="shared" si="134"/>
        <v>19.217640000000003</v>
      </c>
      <c r="K104" s="21" t="s">
        <v>104</v>
      </c>
      <c r="L104" s="1">
        <v>14.782800000000002</v>
      </c>
      <c r="M104" s="2">
        <v>12.946809</v>
      </c>
      <c r="N104" s="12">
        <f>17.41*1.8</f>
        <v>31.338000000000001</v>
      </c>
      <c r="O104" s="2">
        <f t="shared" si="135"/>
        <v>14.782800000000002</v>
      </c>
      <c r="P104" s="1">
        <f t="shared" si="130"/>
        <v>56.744999999999997</v>
      </c>
      <c r="Q104" s="2">
        <f t="shared" si="136"/>
        <v>14.782800000000002</v>
      </c>
      <c r="R104" s="1">
        <f t="shared" si="137"/>
        <v>16.261080000000003</v>
      </c>
      <c r="S104" s="2">
        <f t="shared" si="138"/>
        <v>14.782800000000002</v>
      </c>
      <c r="T104" s="2">
        <v>23.074574999999999</v>
      </c>
      <c r="U104" s="1"/>
      <c r="V104" s="1">
        <v>50.49</v>
      </c>
      <c r="W104" s="2">
        <f t="shared" si="139"/>
        <v>14.782800000000002</v>
      </c>
      <c r="X104" s="2">
        <f t="shared" si="140"/>
        <v>14.782800000000002</v>
      </c>
      <c r="Y104" s="2">
        <f t="shared" si="141"/>
        <v>14.782800000000002</v>
      </c>
      <c r="Z104" s="2">
        <v>21.29</v>
      </c>
      <c r="AA104" s="2">
        <f t="shared" si="142"/>
        <v>14.043660000000001</v>
      </c>
      <c r="AB104" s="2">
        <f t="shared" si="143"/>
        <v>14.043660000000001</v>
      </c>
      <c r="AC104" s="2">
        <f t="shared" si="144"/>
        <v>14.782800000000002</v>
      </c>
      <c r="AD104" s="1">
        <f t="shared" si="145"/>
        <v>15.521940000000003</v>
      </c>
      <c r="AE104" s="2">
        <f t="shared" si="146"/>
        <v>14.782800000000002</v>
      </c>
      <c r="AF104" s="2">
        <f t="shared" si="147"/>
        <v>14.782800000000002</v>
      </c>
      <c r="AG104" s="2">
        <f t="shared" si="148"/>
        <v>13.600176000000003</v>
      </c>
      <c r="AH104" s="1">
        <f t="shared" si="131"/>
        <v>61.109999999999992</v>
      </c>
      <c r="AI104" s="2">
        <f t="shared" si="171"/>
        <v>14.782800000000002</v>
      </c>
      <c r="AJ104" s="2">
        <f t="shared" si="123"/>
        <v>14.782800000000002</v>
      </c>
      <c r="AK104" s="1">
        <f t="shared" si="149"/>
        <v>20.104608000000002</v>
      </c>
      <c r="AL104" s="2">
        <f t="shared" si="150"/>
        <v>14.782800000000002</v>
      </c>
      <c r="AM104" s="2">
        <f t="shared" si="151"/>
        <v>14.782800000000002</v>
      </c>
      <c r="AN104" s="1">
        <f t="shared" si="152"/>
        <v>14.782800000000002</v>
      </c>
      <c r="AO104" s="1">
        <f t="shared" si="153"/>
        <v>14.782800000000002</v>
      </c>
      <c r="AP104" s="2">
        <f t="shared" si="154"/>
        <v>12.946809</v>
      </c>
      <c r="AQ104" s="2">
        <f t="shared" si="172"/>
        <v>14.782800000000002</v>
      </c>
      <c r="AR104" s="1">
        <f t="shared" si="132"/>
        <v>43.65</v>
      </c>
      <c r="AS104" s="2">
        <f t="shared" si="164"/>
        <v>32.367022499999997</v>
      </c>
      <c r="AT104" s="2">
        <f t="shared" si="155"/>
        <v>14.782800000000002</v>
      </c>
      <c r="AU104" s="2">
        <v>18.433504125000002</v>
      </c>
      <c r="AV104" s="2">
        <f t="shared" si="175"/>
        <v>14.241489900000001</v>
      </c>
      <c r="AW104" s="2">
        <f t="shared" si="156"/>
        <v>14.782800000000002</v>
      </c>
      <c r="AX104" s="1">
        <f t="shared" si="129"/>
        <v>14.043660000000001</v>
      </c>
      <c r="AY104" s="2" t="str">
        <f t="shared" si="157"/>
        <v>13.01 Per Unit</v>
      </c>
      <c r="AZ104" s="2">
        <f t="shared" si="158"/>
        <v>14.782800000000002</v>
      </c>
      <c r="BA104" s="2">
        <f t="shared" si="165"/>
        <v>14.782800000000002</v>
      </c>
      <c r="BB104" s="2">
        <f t="shared" si="166"/>
        <v>14.782800000000002</v>
      </c>
      <c r="BC104" s="2">
        <f t="shared" si="167"/>
        <v>14.782800000000002</v>
      </c>
      <c r="BD104" s="2">
        <f t="shared" si="168"/>
        <v>16.261080000000003</v>
      </c>
      <c r="BE104" s="2">
        <f t="shared" si="169"/>
        <v>13.304520000000002</v>
      </c>
      <c r="BF104" s="2">
        <f t="shared" si="133"/>
        <v>74.204999999999998</v>
      </c>
      <c r="BG104" s="2">
        <f t="shared" si="159"/>
        <v>14.782800000000002</v>
      </c>
      <c r="BH104" s="2" t="str">
        <f t="shared" si="160"/>
        <v>14.04 Per Unit</v>
      </c>
      <c r="BI104" s="1">
        <f t="shared" si="173"/>
        <v>17.739360000000001</v>
      </c>
      <c r="BJ104" s="2">
        <f t="shared" si="174"/>
        <v>14.782800000000002</v>
      </c>
      <c r="BK104" s="2">
        <f t="shared" si="161"/>
        <v>14.043660000000001</v>
      </c>
      <c r="BL104" s="2">
        <f t="shared" si="162"/>
        <v>14.782800000000002</v>
      </c>
      <c r="BM104" s="1">
        <v>13.095000000000001</v>
      </c>
      <c r="BN104" s="2">
        <f t="shared" si="163"/>
        <v>14.782800000000002</v>
      </c>
      <c r="BO104" s="2">
        <f>MIN(N104:BN104:BN104)</f>
        <v>12.946809</v>
      </c>
      <c r="BP104" s="2">
        <f t="shared" si="170"/>
        <v>74.204999999999998</v>
      </c>
      <c r="BQ104" s="22"/>
    </row>
    <row r="105" spans="1:69" ht="20.100000000000001" customHeight="1" x14ac:dyDescent="0.2">
      <c r="A105" s="17">
        <f t="shared" si="128"/>
        <v>103</v>
      </c>
      <c r="B105" s="24">
        <v>82248</v>
      </c>
      <c r="C105" s="24">
        <v>3018224800</v>
      </c>
      <c r="D105" s="19" t="s">
        <v>175</v>
      </c>
      <c r="E105" s="18" t="s">
        <v>103</v>
      </c>
      <c r="F105" s="33">
        <v>30.12</v>
      </c>
      <c r="G105" s="24">
        <v>301</v>
      </c>
      <c r="H105" s="12">
        <v>0</v>
      </c>
      <c r="I105" s="24">
        <v>0</v>
      </c>
      <c r="J105" s="2">
        <f t="shared" si="134"/>
        <v>6.6304160000000003</v>
      </c>
      <c r="K105" s="21" t="s">
        <v>104</v>
      </c>
      <c r="L105" s="1">
        <v>5.10032</v>
      </c>
      <c r="M105" s="2">
        <v>4.4157330000000004</v>
      </c>
      <c r="N105" s="12">
        <f>6*1.8</f>
        <v>10.8</v>
      </c>
      <c r="O105" s="2">
        <f t="shared" si="135"/>
        <v>5.10032</v>
      </c>
      <c r="P105" s="1">
        <f t="shared" si="130"/>
        <v>19.578000000000003</v>
      </c>
      <c r="Q105" s="2">
        <f t="shared" si="136"/>
        <v>5.10032</v>
      </c>
      <c r="R105" s="1">
        <f t="shared" si="137"/>
        <v>5.6103520000000007</v>
      </c>
      <c r="S105" s="2">
        <f t="shared" si="138"/>
        <v>5.10032</v>
      </c>
      <c r="T105" s="2">
        <v>7.8824870000000002</v>
      </c>
      <c r="U105" s="1"/>
      <c r="V105" s="1">
        <v>17.420000000000002</v>
      </c>
      <c r="W105" s="2">
        <f t="shared" si="139"/>
        <v>5.10032</v>
      </c>
      <c r="X105" s="2">
        <f t="shared" si="140"/>
        <v>5.10032</v>
      </c>
      <c r="Y105" s="2">
        <f t="shared" si="141"/>
        <v>5.10032</v>
      </c>
      <c r="Z105" s="1">
        <v>7.34</v>
      </c>
      <c r="AA105" s="2">
        <f t="shared" si="142"/>
        <v>4.8453039999999996</v>
      </c>
      <c r="AB105" s="2">
        <f t="shared" si="143"/>
        <v>4.8453039999999996</v>
      </c>
      <c r="AC105" s="2">
        <f t="shared" si="144"/>
        <v>5.10032</v>
      </c>
      <c r="AD105" s="1">
        <f t="shared" si="145"/>
        <v>5.3553360000000003</v>
      </c>
      <c r="AE105" s="2">
        <f t="shared" si="146"/>
        <v>5.10032</v>
      </c>
      <c r="AF105" s="2">
        <f t="shared" si="147"/>
        <v>5.10032</v>
      </c>
      <c r="AG105" s="2">
        <f t="shared" si="148"/>
        <v>4.6922943999999998</v>
      </c>
      <c r="AH105" s="1">
        <f t="shared" si="131"/>
        <v>21.084</v>
      </c>
      <c r="AI105" s="2">
        <f t="shared" si="171"/>
        <v>5.10032</v>
      </c>
      <c r="AJ105" s="2">
        <f t="shared" si="123"/>
        <v>5.10032</v>
      </c>
      <c r="AK105" s="1">
        <f t="shared" si="149"/>
        <v>6.9364352</v>
      </c>
      <c r="AL105" s="2">
        <f t="shared" si="150"/>
        <v>5.10032</v>
      </c>
      <c r="AM105" s="2">
        <f t="shared" si="151"/>
        <v>5.10032</v>
      </c>
      <c r="AN105" s="1">
        <f t="shared" si="152"/>
        <v>5.10032</v>
      </c>
      <c r="AO105" s="1">
        <f t="shared" si="153"/>
        <v>5.10032</v>
      </c>
      <c r="AP105" s="2">
        <f t="shared" si="154"/>
        <v>4.4157330000000004</v>
      </c>
      <c r="AQ105" s="2">
        <f t="shared" si="172"/>
        <v>5.10032</v>
      </c>
      <c r="AR105" s="1">
        <f t="shared" si="132"/>
        <v>15.06</v>
      </c>
      <c r="AS105" s="2">
        <f t="shared" si="164"/>
        <v>11.0393325</v>
      </c>
      <c r="AT105" s="2">
        <f t="shared" si="155"/>
        <v>5.10032</v>
      </c>
      <c r="AU105" s="2">
        <v>6.359875650000002</v>
      </c>
      <c r="AV105" s="2">
        <f t="shared" si="175"/>
        <v>4.8573063000000012</v>
      </c>
      <c r="AW105" s="2">
        <f t="shared" si="156"/>
        <v>5.10032</v>
      </c>
      <c r="AX105" s="1">
        <f t="shared" si="129"/>
        <v>4.8453039999999996</v>
      </c>
      <c r="AY105" s="2" t="str">
        <f t="shared" si="157"/>
        <v>4.49 Per Unit</v>
      </c>
      <c r="AZ105" s="2">
        <f t="shared" si="158"/>
        <v>5.10032</v>
      </c>
      <c r="BA105" s="2">
        <f t="shared" si="165"/>
        <v>5.10032</v>
      </c>
      <c r="BB105" s="2">
        <f t="shared" si="166"/>
        <v>5.10032</v>
      </c>
      <c r="BC105" s="2">
        <f t="shared" si="167"/>
        <v>5.10032</v>
      </c>
      <c r="BD105" s="2">
        <f t="shared" si="168"/>
        <v>5.6103520000000007</v>
      </c>
      <c r="BE105" s="2">
        <f t="shared" si="169"/>
        <v>4.5902880000000001</v>
      </c>
      <c r="BF105" s="2">
        <f t="shared" si="133"/>
        <v>25.602</v>
      </c>
      <c r="BG105" s="2">
        <f t="shared" si="159"/>
        <v>5.10032</v>
      </c>
      <c r="BH105" s="2" t="str">
        <f t="shared" si="160"/>
        <v>4.85 Per Unit</v>
      </c>
      <c r="BI105" s="1">
        <f t="shared" si="173"/>
        <v>6.1203839999999996</v>
      </c>
      <c r="BJ105" s="2">
        <f t="shared" si="174"/>
        <v>5.10032</v>
      </c>
      <c r="BK105" s="2">
        <f t="shared" si="161"/>
        <v>4.8453039999999996</v>
      </c>
      <c r="BL105" s="2">
        <f t="shared" si="162"/>
        <v>5.10032</v>
      </c>
      <c r="BM105" s="1">
        <v>4.5179999999999998</v>
      </c>
      <c r="BN105" s="2">
        <f t="shared" si="163"/>
        <v>5.10032</v>
      </c>
      <c r="BO105" s="2">
        <f>MIN(N105:BN105:BN105)</f>
        <v>4.4157330000000004</v>
      </c>
      <c r="BP105" s="2">
        <f t="shared" si="170"/>
        <v>25.602</v>
      </c>
      <c r="BQ105" s="22"/>
    </row>
    <row r="106" spans="1:69" ht="20.100000000000001" customHeight="1" x14ac:dyDescent="0.2">
      <c r="A106" s="17">
        <f t="shared" si="128"/>
        <v>104</v>
      </c>
      <c r="B106" s="24">
        <v>83516</v>
      </c>
      <c r="C106" s="24">
        <v>3018351600</v>
      </c>
      <c r="D106" s="19" t="s">
        <v>176</v>
      </c>
      <c r="E106" s="18" t="s">
        <v>103</v>
      </c>
      <c r="F106" s="33">
        <v>69.180000000000007</v>
      </c>
      <c r="G106" s="24">
        <v>301</v>
      </c>
      <c r="H106" s="12">
        <v>0</v>
      </c>
      <c r="I106" s="24">
        <v>0</v>
      </c>
      <c r="J106" s="2">
        <f t="shared" si="134"/>
        <v>15.228824000000001</v>
      </c>
      <c r="K106" s="21" t="s">
        <v>104</v>
      </c>
      <c r="L106" s="1">
        <v>11.71448</v>
      </c>
      <c r="M106" s="2">
        <v>8.6111800000000009</v>
      </c>
      <c r="N106" s="12">
        <f>11.11*1.8</f>
        <v>19.998000000000001</v>
      </c>
      <c r="O106" s="2">
        <f t="shared" si="135"/>
        <v>11.71448</v>
      </c>
      <c r="P106" s="1">
        <f t="shared" si="130"/>
        <v>44.967000000000006</v>
      </c>
      <c r="Q106" s="2">
        <f t="shared" si="136"/>
        <v>11.71448</v>
      </c>
      <c r="R106" s="1">
        <f t="shared" si="137"/>
        <v>12.885928000000002</v>
      </c>
      <c r="S106" s="2">
        <f t="shared" si="138"/>
        <v>11.71448</v>
      </c>
      <c r="T106" s="2">
        <v>36.866275000000002</v>
      </c>
      <c r="U106" s="1"/>
      <c r="V106" s="1">
        <v>40.01</v>
      </c>
      <c r="W106" s="2">
        <f t="shared" si="139"/>
        <v>11.71448</v>
      </c>
      <c r="X106" s="2">
        <f t="shared" si="140"/>
        <v>11.71448</v>
      </c>
      <c r="Y106" s="2">
        <f t="shared" si="141"/>
        <v>11.71448</v>
      </c>
      <c r="Z106" s="2">
        <v>16.86</v>
      </c>
      <c r="AA106" s="2">
        <f t="shared" si="142"/>
        <v>11.128755999999999</v>
      </c>
      <c r="AB106" s="2">
        <f t="shared" si="143"/>
        <v>11.128755999999999</v>
      </c>
      <c r="AC106" s="2">
        <f t="shared" si="144"/>
        <v>11.71448</v>
      </c>
      <c r="AD106" s="1">
        <f t="shared" si="145"/>
        <v>12.300204000000001</v>
      </c>
      <c r="AE106" s="2">
        <f t="shared" si="146"/>
        <v>11.71448</v>
      </c>
      <c r="AF106" s="2">
        <f t="shared" si="147"/>
        <v>11.71448</v>
      </c>
      <c r="AG106" s="2">
        <f t="shared" si="148"/>
        <v>10.777321600000001</v>
      </c>
      <c r="AH106" s="1">
        <f t="shared" si="131"/>
        <v>48.426000000000002</v>
      </c>
      <c r="AI106" s="2">
        <f t="shared" si="171"/>
        <v>11.71448</v>
      </c>
      <c r="AJ106" s="2">
        <f t="shared" si="123"/>
        <v>11.71448</v>
      </c>
      <c r="AK106" s="1">
        <f t="shared" si="149"/>
        <v>15.9316928</v>
      </c>
      <c r="AL106" s="2">
        <f t="shared" si="150"/>
        <v>11.71448</v>
      </c>
      <c r="AM106" s="2">
        <f t="shared" si="151"/>
        <v>11.71448</v>
      </c>
      <c r="AN106" s="1">
        <f t="shared" si="152"/>
        <v>11.71448</v>
      </c>
      <c r="AO106" s="1">
        <f t="shared" si="153"/>
        <v>11.71448</v>
      </c>
      <c r="AP106" s="2">
        <f t="shared" si="154"/>
        <v>8.6111800000000009</v>
      </c>
      <c r="AQ106" s="2">
        <f t="shared" si="172"/>
        <v>11.71448</v>
      </c>
      <c r="AR106" s="1">
        <f t="shared" si="132"/>
        <v>34.590000000000003</v>
      </c>
      <c r="AS106" s="2">
        <f t="shared" si="164"/>
        <v>21.527950000000004</v>
      </c>
      <c r="AT106" s="2">
        <f t="shared" si="155"/>
        <v>11.71448</v>
      </c>
      <c r="AU106" s="2">
        <v>14.607443475000006</v>
      </c>
      <c r="AV106" s="2">
        <f t="shared" si="175"/>
        <v>9.4722980000000021</v>
      </c>
      <c r="AW106" s="2">
        <f t="shared" si="156"/>
        <v>11.71448</v>
      </c>
      <c r="AX106" s="1">
        <f t="shared" si="129"/>
        <v>11.128755999999999</v>
      </c>
      <c r="AY106" s="2" t="str">
        <f t="shared" si="157"/>
        <v>10.31 Per Unit</v>
      </c>
      <c r="AZ106" s="2">
        <f t="shared" si="158"/>
        <v>11.71448</v>
      </c>
      <c r="BA106" s="2">
        <f t="shared" si="165"/>
        <v>11.71448</v>
      </c>
      <c r="BB106" s="2">
        <f t="shared" si="166"/>
        <v>11.71448</v>
      </c>
      <c r="BC106" s="2">
        <f t="shared" si="167"/>
        <v>11.71448</v>
      </c>
      <c r="BD106" s="2">
        <f t="shared" si="168"/>
        <v>12.885928000000002</v>
      </c>
      <c r="BE106" s="2">
        <f t="shared" si="169"/>
        <v>10.543032</v>
      </c>
      <c r="BF106" s="2">
        <f t="shared" si="133"/>
        <v>58.803000000000004</v>
      </c>
      <c r="BG106" s="2">
        <f t="shared" si="159"/>
        <v>11.71448</v>
      </c>
      <c r="BH106" s="2" t="str">
        <f t="shared" si="160"/>
        <v>11.13 Per Unit</v>
      </c>
      <c r="BI106" s="1">
        <f t="shared" si="173"/>
        <v>14.057376</v>
      </c>
      <c r="BJ106" s="2">
        <f t="shared" si="174"/>
        <v>11.71448</v>
      </c>
      <c r="BK106" s="2">
        <f t="shared" si="161"/>
        <v>11.128755999999999</v>
      </c>
      <c r="BL106" s="2">
        <f t="shared" si="162"/>
        <v>11.71448</v>
      </c>
      <c r="BM106" s="1">
        <v>10.376999999999999</v>
      </c>
      <c r="BN106" s="2">
        <f t="shared" si="163"/>
        <v>11.71448</v>
      </c>
      <c r="BO106" s="2">
        <f>MIN(N106:BN106:BN106)</f>
        <v>8.6111800000000009</v>
      </c>
      <c r="BP106" s="2">
        <f t="shared" si="170"/>
        <v>58.803000000000004</v>
      </c>
      <c r="BQ106" s="22"/>
    </row>
    <row r="107" spans="1:69" ht="20.100000000000001" customHeight="1" x14ac:dyDescent="0.2">
      <c r="A107" s="17">
        <f t="shared" si="128"/>
        <v>105</v>
      </c>
      <c r="B107" s="24">
        <v>84436</v>
      </c>
      <c r="C107" s="24">
        <v>3018443600</v>
      </c>
      <c r="D107" s="19" t="s">
        <v>177</v>
      </c>
      <c r="E107" s="18" t="s">
        <v>103</v>
      </c>
      <c r="F107" s="33">
        <v>41.22</v>
      </c>
      <c r="G107" s="24">
        <v>301</v>
      </c>
      <c r="H107" s="12">
        <v>0</v>
      </c>
      <c r="I107" s="24">
        <v>0</v>
      </c>
      <c r="J107" s="2">
        <f t="shared" si="134"/>
        <v>9.0738959999999995</v>
      </c>
      <c r="K107" s="21" t="s">
        <v>104</v>
      </c>
      <c r="L107" s="1">
        <v>6.9799199999999999</v>
      </c>
      <c r="M107" s="2">
        <v>6.0378390000000008</v>
      </c>
      <c r="N107" s="12">
        <f>8.22*1.8</f>
        <v>14.796000000000001</v>
      </c>
      <c r="O107" s="2">
        <f t="shared" si="135"/>
        <v>6.9799199999999999</v>
      </c>
      <c r="P107" s="1">
        <f t="shared" si="130"/>
        <v>26.792999999999999</v>
      </c>
      <c r="Q107" s="2">
        <f t="shared" si="136"/>
        <v>6.9799199999999999</v>
      </c>
      <c r="R107" s="1">
        <f t="shared" si="137"/>
        <v>7.6779120000000001</v>
      </c>
      <c r="S107" s="2">
        <f t="shared" si="138"/>
        <v>6.9799199999999999</v>
      </c>
      <c r="T107" s="2">
        <v>10.831789000000001</v>
      </c>
      <c r="U107" s="1"/>
      <c r="V107" s="1">
        <v>23.84</v>
      </c>
      <c r="W107" s="2">
        <f t="shared" si="139"/>
        <v>6.9799199999999999</v>
      </c>
      <c r="X107" s="2">
        <f t="shared" si="140"/>
        <v>6.9799199999999999</v>
      </c>
      <c r="Y107" s="2">
        <f t="shared" si="141"/>
        <v>6.9799199999999999</v>
      </c>
      <c r="Z107" s="2">
        <v>10.07</v>
      </c>
      <c r="AA107" s="2">
        <f t="shared" si="142"/>
        <v>6.6309239999999994</v>
      </c>
      <c r="AB107" s="2">
        <f t="shared" si="143"/>
        <v>6.6309239999999994</v>
      </c>
      <c r="AC107" s="2">
        <f t="shared" si="144"/>
        <v>6.9799199999999999</v>
      </c>
      <c r="AD107" s="1">
        <f t="shared" si="145"/>
        <v>7.3289160000000004</v>
      </c>
      <c r="AE107" s="2">
        <f t="shared" si="146"/>
        <v>6.9799199999999999</v>
      </c>
      <c r="AF107" s="2">
        <f t="shared" si="147"/>
        <v>6.9799199999999999</v>
      </c>
      <c r="AG107" s="2">
        <f t="shared" si="148"/>
        <v>6.4215264000000003</v>
      </c>
      <c r="AH107" s="1">
        <f t="shared" si="131"/>
        <v>28.853999999999996</v>
      </c>
      <c r="AI107" s="2">
        <f t="shared" si="171"/>
        <v>6.9799199999999999</v>
      </c>
      <c r="AJ107" s="2">
        <f t="shared" si="123"/>
        <v>6.9799199999999999</v>
      </c>
      <c r="AK107" s="1">
        <f t="shared" si="149"/>
        <v>9.4926912000000012</v>
      </c>
      <c r="AL107" s="2">
        <f t="shared" si="150"/>
        <v>6.9799199999999999</v>
      </c>
      <c r="AM107" s="2">
        <f t="shared" si="151"/>
        <v>6.9799199999999999</v>
      </c>
      <c r="AN107" s="1">
        <f t="shared" si="152"/>
        <v>6.9799199999999999</v>
      </c>
      <c r="AO107" s="1">
        <f t="shared" si="153"/>
        <v>6.9799199999999999</v>
      </c>
      <c r="AP107" s="2">
        <f t="shared" si="154"/>
        <v>6.0378390000000008</v>
      </c>
      <c r="AQ107" s="2">
        <f t="shared" si="172"/>
        <v>6.9799199999999999</v>
      </c>
      <c r="AR107" s="1">
        <f t="shared" si="132"/>
        <v>20.61</v>
      </c>
      <c r="AS107" s="2">
        <f t="shared" si="164"/>
        <v>15.094597500000003</v>
      </c>
      <c r="AT107" s="2">
        <f t="shared" si="155"/>
        <v>6.9799199999999999</v>
      </c>
      <c r="AU107" s="2">
        <v>8.703654525000001</v>
      </c>
      <c r="AV107" s="2">
        <f t="shared" si="175"/>
        <v>6.6416229000000016</v>
      </c>
      <c r="AW107" s="2">
        <f t="shared" si="156"/>
        <v>6.9799199999999999</v>
      </c>
      <c r="AX107" s="1">
        <f t="shared" si="129"/>
        <v>6.6309239999999994</v>
      </c>
      <c r="AY107" s="2" t="str">
        <f t="shared" si="157"/>
        <v>6.14 Per Unit</v>
      </c>
      <c r="AZ107" s="2">
        <f t="shared" si="158"/>
        <v>6.9799199999999999</v>
      </c>
      <c r="BA107" s="2">
        <f t="shared" si="165"/>
        <v>6.9799199999999999</v>
      </c>
      <c r="BB107" s="2">
        <f t="shared" si="166"/>
        <v>6.9799199999999999</v>
      </c>
      <c r="BC107" s="2">
        <f t="shared" si="167"/>
        <v>6.9799199999999999</v>
      </c>
      <c r="BD107" s="2">
        <f t="shared" si="168"/>
        <v>7.6779120000000001</v>
      </c>
      <c r="BE107" s="2">
        <f t="shared" si="169"/>
        <v>6.2819279999999997</v>
      </c>
      <c r="BF107" s="2">
        <f t="shared" si="133"/>
        <v>35.036999999999999</v>
      </c>
      <c r="BG107" s="2">
        <f t="shared" si="159"/>
        <v>6.9799199999999999</v>
      </c>
      <c r="BH107" s="2" t="str">
        <f t="shared" si="160"/>
        <v>6.63 Per Unit</v>
      </c>
      <c r="BI107" s="1">
        <f t="shared" si="173"/>
        <v>8.3759040000000002</v>
      </c>
      <c r="BJ107" s="2">
        <f t="shared" si="174"/>
        <v>6.9799199999999999</v>
      </c>
      <c r="BK107" s="2">
        <f t="shared" si="161"/>
        <v>6.6309239999999994</v>
      </c>
      <c r="BL107" s="2">
        <f t="shared" si="162"/>
        <v>6.9799199999999999</v>
      </c>
      <c r="BM107" s="1">
        <v>6.1829999999999998</v>
      </c>
      <c r="BN107" s="2">
        <f t="shared" si="163"/>
        <v>6.9799199999999999</v>
      </c>
      <c r="BO107" s="2">
        <f>MIN(N107:BN107:BN107)</f>
        <v>6.0378390000000008</v>
      </c>
      <c r="BP107" s="2">
        <f t="shared" si="170"/>
        <v>35.036999999999999</v>
      </c>
      <c r="BQ107" s="22"/>
    </row>
    <row r="108" spans="1:69" ht="20.100000000000001" customHeight="1" x14ac:dyDescent="0.2">
      <c r="A108" s="17">
        <f t="shared" si="128"/>
        <v>106</v>
      </c>
      <c r="B108" s="24">
        <v>86765</v>
      </c>
      <c r="C108" s="24">
        <v>3028676500</v>
      </c>
      <c r="D108" s="19" t="s">
        <v>178</v>
      </c>
      <c r="E108" s="18" t="s">
        <v>103</v>
      </c>
      <c r="F108" s="33">
        <v>77.28</v>
      </c>
      <c r="G108" s="24">
        <v>302</v>
      </c>
      <c r="H108" s="12">
        <v>0</v>
      </c>
      <c r="I108" s="24">
        <v>0</v>
      </c>
      <c r="J108" s="2">
        <f t="shared" si="134"/>
        <v>17.011904000000001</v>
      </c>
      <c r="K108" s="21" t="s">
        <v>104</v>
      </c>
      <c r="L108" s="1">
        <v>13.086080000000001</v>
      </c>
      <c r="M108" s="2">
        <v>11.464885000000001</v>
      </c>
      <c r="N108" s="12">
        <f>15.41*1.8</f>
        <v>27.738</v>
      </c>
      <c r="O108" s="2">
        <f t="shared" si="135"/>
        <v>13.086080000000001</v>
      </c>
      <c r="P108" s="1">
        <f t="shared" si="130"/>
        <v>50.231999999999999</v>
      </c>
      <c r="Q108" s="2">
        <f t="shared" si="136"/>
        <v>13.086080000000001</v>
      </c>
      <c r="R108" s="1">
        <f t="shared" si="137"/>
        <v>14.394688000000002</v>
      </c>
      <c r="S108" s="2">
        <f t="shared" si="138"/>
        <v>13.086080000000001</v>
      </c>
      <c r="T108" s="2">
        <v>20.305626000000004</v>
      </c>
      <c r="U108" s="1"/>
      <c r="V108" s="1">
        <v>44.69</v>
      </c>
      <c r="W108" s="2">
        <f t="shared" si="139"/>
        <v>13.086080000000001</v>
      </c>
      <c r="X108" s="2">
        <f t="shared" si="140"/>
        <v>13.086080000000001</v>
      </c>
      <c r="Y108" s="2">
        <f t="shared" si="141"/>
        <v>13.086080000000001</v>
      </c>
      <c r="Z108" s="2">
        <v>18.84</v>
      </c>
      <c r="AA108" s="2">
        <f t="shared" si="142"/>
        <v>12.431776000000001</v>
      </c>
      <c r="AB108" s="2">
        <f t="shared" si="143"/>
        <v>12.431776000000001</v>
      </c>
      <c r="AC108" s="2">
        <f t="shared" si="144"/>
        <v>13.086080000000001</v>
      </c>
      <c r="AD108" s="1">
        <f t="shared" si="145"/>
        <v>13.740384000000001</v>
      </c>
      <c r="AE108" s="2">
        <f t="shared" si="146"/>
        <v>13.086080000000001</v>
      </c>
      <c r="AF108" s="2">
        <f t="shared" si="147"/>
        <v>13.086080000000001</v>
      </c>
      <c r="AG108" s="2">
        <f t="shared" si="148"/>
        <v>12.039193600000001</v>
      </c>
      <c r="AH108" s="1">
        <f t="shared" si="131"/>
        <v>54.095999999999997</v>
      </c>
      <c r="AI108" s="2">
        <f t="shared" si="171"/>
        <v>13.086080000000001</v>
      </c>
      <c r="AJ108" s="2">
        <f t="shared" si="123"/>
        <v>13.086080000000001</v>
      </c>
      <c r="AK108" s="1">
        <f t="shared" si="149"/>
        <v>17.797068800000002</v>
      </c>
      <c r="AL108" s="2">
        <f t="shared" si="150"/>
        <v>13.086080000000001</v>
      </c>
      <c r="AM108" s="2">
        <f t="shared" si="151"/>
        <v>13.086080000000001</v>
      </c>
      <c r="AN108" s="1">
        <f t="shared" si="152"/>
        <v>13.086080000000001</v>
      </c>
      <c r="AO108" s="1">
        <f t="shared" si="153"/>
        <v>13.086080000000001</v>
      </c>
      <c r="AP108" s="2">
        <f t="shared" si="154"/>
        <v>11.464885000000001</v>
      </c>
      <c r="AQ108" s="2">
        <f t="shared" si="172"/>
        <v>13.086080000000001</v>
      </c>
      <c r="AR108" s="1">
        <f t="shared" si="132"/>
        <v>38.64</v>
      </c>
      <c r="AS108" s="2">
        <f t="shared" si="164"/>
        <v>28.662212500000003</v>
      </c>
      <c r="AT108" s="2">
        <f t="shared" si="155"/>
        <v>13.086080000000001</v>
      </c>
      <c r="AU108" s="2">
        <v>16.317768600000004</v>
      </c>
      <c r="AV108" s="2">
        <f t="shared" si="175"/>
        <v>12.611373500000001</v>
      </c>
      <c r="AW108" s="2">
        <f t="shared" si="156"/>
        <v>13.086080000000001</v>
      </c>
      <c r="AX108" s="1">
        <f t="shared" si="129"/>
        <v>12.431776000000001</v>
      </c>
      <c r="AY108" s="2" t="str">
        <f t="shared" si="157"/>
        <v>11.52 Per Unit</v>
      </c>
      <c r="AZ108" s="2">
        <f t="shared" si="158"/>
        <v>13.086080000000001</v>
      </c>
      <c r="BA108" s="2">
        <f t="shared" si="165"/>
        <v>13.086080000000001</v>
      </c>
      <c r="BB108" s="2">
        <f t="shared" si="166"/>
        <v>13.086080000000001</v>
      </c>
      <c r="BC108" s="2">
        <f t="shared" si="167"/>
        <v>13.086080000000001</v>
      </c>
      <c r="BD108" s="2">
        <f t="shared" si="168"/>
        <v>14.394688000000002</v>
      </c>
      <c r="BE108" s="2">
        <f t="shared" si="169"/>
        <v>11.777472000000001</v>
      </c>
      <c r="BF108" s="2">
        <f t="shared" si="133"/>
        <v>65.688000000000002</v>
      </c>
      <c r="BG108" s="2">
        <f t="shared" si="159"/>
        <v>13.086080000000001</v>
      </c>
      <c r="BH108" s="2" t="str">
        <f t="shared" si="160"/>
        <v>12.43 Per Unit</v>
      </c>
      <c r="BI108" s="1">
        <f t="shared" si="173"/>
        <v>15.703296</v>
      </c>
      <c r="BJ108" s="2">
        <f t="shared" si="174"/>
        <v>13.086080000000001</v>
      </c>
      <c r="BK108" s="2">
        <f t="shared" si="161"/>
        <v>12.431776000000001</v>
      </c>
      <c r="BL108" s="2">
        <f t="shared" si="162"/>
        <v>13.086080000000001</v>
      </c>
      <c r="BM108" s="1">
        <v>11.592000000000001</v>
      </c>
      <c r="BN108" s="2">
        <f t="shared" si="163"/>
        <v>13.086080000000001</v>
      </c>
      <c r="BO108" s="2">
        <f>MIN(N108:BN108:BN108)</f>
        <v>11.464885000000001</v>
      </c>
      <c r="BP108" s="2">
        <f t="shared" si="170"/>
        <v>65.688000000000002</v>
      </c>
      <c r="BQ108" s="22"/>
    </row>
    <row r="109" spans="1:69" ht="20.100000000000001" customHeight="1" x14ac:dyDescent="0.2">
      <c r="A109" s="17">
        <f t="shared" si="128"/>
        <v>107</v>
      </c>
      <c r="B109" s="24">
        <v>83605</v>
      </c>
      <c r="C109" s="24">
        <v>3018360500</v>
      </c>
      <c r="D109" s="19" t="s">
        <v>179</v>
      </c>
      <c r="E109" s="18" t="s">
        <v>103</v>
      </c>
      <c r="F109" s="33">
        <v>69.42</v>
      </c>
      <c r="G109" s="24">
        <v>301</v>
      </c>
      <c r="H109" s="12">
        <v>0</v>
      </c>
      <c r="I109" s="24">
        <v>0</v>
      </c>
      <c r="J109" s="2">
        <f t="shared" si="134"/>
        <v>15.281656</v>
      </c>
      <c r="K109" s="21" t="s">
        <v>104</v>
      </c>
      <c r="L109" s="1">
        <v>11.75512</v>
      </c>
      <c r="M109" s="2">
        <v>9.4222330000000003</v>
      </c>
      <c r="N109" s="12">
        <f>12.78*1.8</f>
        <v>23.003999999999998</v>
      </c>
      <c r="O109" s="2">
        <f t="shared" si="135"/>
        <v>11.75512</v>
      </c>
      <c r="P109" s="1">
        <f t="shared" si="130"/>
        <v>45.123000000000005</v>
      </c>
      <c r="Q109" s="2">
        <f t="shared" si="136"/>
        <v>11.75512</v>
      </c>
      <c r="R109" s="1">
        <f t="shared" si="137"/>
        <v>12.930632000000001</v>
      </c>
      <c r="S109" s="2">
        <f t="shared" si="138"/>
        <v>11.75512</v>
      </c>
      <c r="T109" s="2">
        <v>16.825873999999999</v>
      </c>
      <c r="U109" s="1"/>
      <c r="V109" s="1">
        <v>40.15</v>
      </c>
      <c r="W109" s="2">
        <f t="shared" si="139"/>
        <v>11.75512</v>
      </c>
      <c r="X109" s="2">
        <f t="shared" si="140"/>
        <v>11.75512</v>
      </c>
      <c r="Y109" s="2">
        <f t="shared" si="141"/>
        <v>11.75512</v>
      </c>
      <c r="Z109" s="2">
        <v>16.920000000000002</v>
      </c>
      <c r="AA109" s="2">
        <f t="shared" si="142"/>
        <v>11.167363999999999</v>
      </c>
      <c r="AB109" s="2">
        <f t="shared" si="143"/>
        <v>11.167363999999999</v>
      </c>
      <c r="AC109" s="2">
        <f t="shared" si="144"/>
        <v>11.75512</v>
      </c>
      <c r="AD109" s="1">
        <f t="shared" si="145"/>
        <v>12.342876</v>
      </c>
      <c r="AE109" s="2">
        <f t="shared" si="146"/>
        <v>11.75512</v>
      </c>
      <c r="AF109" s="2">
        <f t="shared" si="147"/>
        <v>11.75512</v>
      </c>
      <c r="AG109" s="2">
        <f t="shared" si="148"/>
        <v>10.814710400000001</v>
      </c>
      <c r="AH109" s="1">
        <f t="shared" si="131"/>
        <v>48.594000000000001</v>
      </c>
      <c r="AI109" s="2">
        <f t="shared" si="171"/>
        <v>11.75512</v>
      </c>
      <c r="AJ109" s="2">
        <f t="shared" si="123"/>
        <v>11.75512</v>
      </c>
      <c r="AK109" s="1">
        <f t="shared" si="149"/>
        <v>15.986963200000002</v>
      </c>
      <c r="AL109" s="2">
        <f t="shared" si="150"/>
        <v>11.75512</v>
      </c>
      <c r="AM109" s="2">
        <f t="shared" si="151"/>
        <v>11.75512</v>
      </c>
      <c r="AN109" s="1">
        <f t="shared" si="152"/>
        <v>11.75512</v>
      </c>
      <c r="AO109" s="1">
        <f t="shared" si="153"/>
        <v>11.75512</v>
      </c>
      <c r="AP109" s="2">
        <f t="shared" si="154"/>
        <v>9.4222330000000003</v>
      </c>
      <c r="AQ109" s="2">
        <f t="shared" si="172"/>
        <v>11.75512</v>
      </c>
      <c r="AR109" s="1">
        <f t="shared" si="132"/>
        <v>34.71</v>
      </c>
      <c r="AS109" s="2">
        <f t="shared" si="164"/>
        <v>23.5555825</v>
      </c>
      <c r="AT109" s="2">
        <f t="shared" si="155"/>
        <v>11.75512</v>
      </c>
      <c r="AU109" s="2">
        <v>14.658119775000003</v>
      </c>
      <c r="AV109" s="2">
        <f t="shared" si="175"/>
        <v>10.364456300000001</v>
      </c>
      <c r="AW109" s="2">
        <f t="shared" si="156"/>
        <v>11.75512</v>
      </c>
      <c r="AX109" s="1">
        <f t="shared" si="129"/>
        <v>11.167363999999999</v>
      </c>
      <c r="AY109" s="2" t="str">
        <f t="shared" si="157"/>
        <v>10.34 Per Unit</v>
      </c>
      <c r="AZ109" s="2">
        <f t="shared" si="158"/>
        <v>11.75512</v>
      </c>
      <c r="BA109" s="2">
        <f t="shared" si="165"/>
        <v>11.75512</v>
      </c>
      <c r="BB109" s="2">
        <f t="shared" si="166"/>
        <v>11.75512</v>
      </c>
      <c r="BC109" s="2">
        <f t="shared" si="167"/>
        <v>11.75512</v>
      </c>
      <c r="BD109" s="2">
        <f t="shared" si="168"/>
        <v>12.930632000000001</v>
      </c>
      <c r="BE109" s="2">
        <f t="shared" si="169"/>
        <v>10.579608</v>
      </c>
      <c r="BF109" s="2">
        <f t="shared" si="133"/>
        <v>59.006999999999998</v>
      </c>
      <c r="BG109" s="2">
        <f t="shared" si="159"/>
        <v>11.75512</v>
      </c>
      <c r="BH109" s="2" t="str">
        <f t="shared" si="160"/>
        <v>11.17 Per Unit</v>
      </c>
      <c r="BI109" s="1">
        <f t="shared" si="173"/>
        <v>14.106143999999999</v>
      </c>
      <c r="BJ109" s="2">
        <f t="shared" si="174"/>
        <v>11.75512</v>
      </c>
      <c r="BK109" s="2">
        <f t="shared" si="161"/>
        <v>11.167363999999999</v>
      </c>
      <c r="BL109" s="2">
        <f t="shared" si="162"/>
        <v>11.75512</v>
      </c>
      <c r="BM109" s="1">
        <v>10.413</v>
      </c>
      <c r="BN109" s="2">
        <f t="shared" si="163"/>
        <v>11.75512</v>
      </c>
      <c r="BO109" s="2">
        <f>MIN(N109:BN109:BN109)</f>
        <v>9.4222330000000003</v>
      </c>
      <c r="BP109" s="2">
        <f t="shared" si="170"/>
        <v>59.006999999999998</v>
      </c>
      <c r="BQ109" s="22"/>
    </row>
    <row r="110" spans="1:69" ht="20.100000000000001" customHeight="1" x14ac:dyDescent="0.2">
      <c r="A110" s="17">
        <f t="shared" si="128"/>
        <v>108</v>
      </c>
      <c r="B110" s="24">
        <v>83615</v>
      </c>
      <c r="C110" s="24">
        <v>3018361500</v>
      </c>
      <c r="D110" s="19" t="s">
        <v>180</v>
      </c>
      <c r="E110" s="18" t="s">
        <v>103</v>
      </c>
      <c r="F110" s="33">
        <v>36.24</v>
      </c>
      <c r="G110" s="24">
        <v>301</v>
      </c>
      <c r="H110" s="12">
        <v>0</v>
      </c>
      <c r="I110" s="24">
        <v>0</v>
      </c>
      <c r="J110" s="2">
        <f t="shared" si="134"/>
        <v>7.9776319999999998</v>
      </c>
      <c r="K110" s="21" t="s">
        <v>104</v>
      </c>
      <c r="L110" s="1">
        <v>6.1366399999999999</v>
      </c>
      <c r="M110" s="2">
        <v>5.3769810000000007</v>
      </c>
      <c r="N110" s="12">
        <f>7.23*1.8</f>
        <v>13.014000000000001</v>
      </c>
      <c r="O110" s="2">
        <f t="shared" si="135"/>
        <v>6.1366399999999999</v>
      </c>
      <c r="P110" s="1">
        <f t="shared" si="130"/>
        <v>23.556000000000001</v>
      </c>
      <c r="Q110" s="2">
        <f t="shared" si="136"/>
        <v>6.1366399999999999</v>
      </c>
      <c r="R110" s="1">
        <f t="shared" si="137"/>
        <v>6.7503040000000007</v>
      </c>
      <c r="S110" s="2">
        <f t="shared" si="138"/>
        <v>6.1366399999999999</v>
      </c>
      <c r="T110" s="2">
        <v>9.4844460000000002</v>
      </c>
      <c r="U110" s="1"/>
      <c r="V110" s="1">
        <v>20.96</v>
      </c>
      <c r="W110" s="2">
        <f t="shared" si="139"/>
        <v>6.1366399999999999</v>
      </c>
      <c r="X110" s="2">
        <f t="shared" si="140"/>
        <v>6.1366399999999999</v>
      </c>
      <c r="Y110" s="2">
        <f t="shared" si="141"/>
        <v>6.1366399999999999</v>
      </c>
      <c r="Z110" s="2">
        <v>8.85</v>
      </c>
      <c r="AA110" s="2">
        <f t="shared" si="142"/>
        <v>5.8298079999999999</v>
      </c>
      <c r="AB110" s="2">
        <f t="shared" si="143"/>
        <v>5.8298079999999999</v>
      </c>
      <c r="AC110" s="2">
        <f t="shared" si="144"/>
        <v>6.1366399999999999</v>
      </c>
      <c r="AD110" s="1">
        <f t="shared" si="145"/>
        <v>6.4434719999999999</v>
      </c>
      <c r="AE110" s="2">
        <f t="shared" si="146"/>
        <v>6.1366399999999999</v>
      </c>
      <c r="AF110" s="2">
        <f t="shared" si="147"/>
        <v>6.1366399999999999</v>
      </c>
      <c r="AG110" s="2">
        <f t="shared" si="148"/>
        <v>5.6457088000000004</v>
      </c>
      <c r="AH110" s="1">
        <f t="shared" si="131"/>
        <v>25.367999999999999</v>
      </c>
      <c r="AI110" s="2">
        <f t="shared" si="171"/>
        <v>6.1366399999999999</v>
      </c>
      <c r="AJ110" s="2">
        <f t="shared" si="123"/>
        <v>6.1366399999999999</v>
      </c>
      <c r="AK110" s="1">
        <f t="shared" si="149"/>
        <v>8.3458304000000005</v>
      </c>
      <c r="AL110" s="2">
        <f t="shared" si="150"/>
        <v>6.1366399999999999</v>
      </c>
      <c r="AM110" s="2">
        <f t="shared" si="151"/>
        <v>6.1366399999999999</v>
      </c>
      <c r="AN110" s="1">
        <f t="shared" si="152"/>
        <v>6.1366399999999999</v>
      </c>
      <c r="AO110" s="1">
        <f t="shared" si="153"/>
        <v>6.1366399999999999</v>
      </c>
      <c r="AP110" s="2">
        <f t="shared" si="154"/>
        <v>5.3769810000000007</v>
      </c>
      <c r="AQ110" s="2">
        <f t="shared" si="172"/>
        <v>6.1366399999999999</v>
      </c>
      <c r="AR110" s="1">
        <f t="shared" si="132"/>
        <v>18.12</v>
      </c>
      <c r="AS110" s="2">
        <f t="shared" si="164"/>
        <v>13.442452500000002</v>
      </c>
      <c r="AT110" s="2">
        <f t="shared" si="155"/>
        <v>6.1366399999999999</v>
      </c>
      <c r="AU110" s="2">
        <v>7.6521213000000028</v>
      </c>
      <c r="AV110" s="2">
        <f t="shared" si="175"/>
        <v>5.9146791000000016</v>
      </c>
      <c r="AW110" s="2">
        <f t="shared" si="156"/>
        <v>6.1366399999999999</v>
      </c>
      <c r="AX110" s="1">
        <f t="shared" si="129"/>
        <v>5.8298079999999999</v>
      </c>
      <c r="AY110" s="2" t="str">
        <f t="shared" si="157"/>
        <v>5.4 Per Unit</v>
      </c>
      <c r="AZ110" s="2">
        <f t="shared" si="158"/>
        <v>6.1366399999999999</v>
      </c>
      <c r="BA110" s="2">
        <f t="shared" si="165"/>
        <v>6.1366399999999999</v>
      </c>
      <c r="BB110" s="2">
        <f t="shared" si="166"/>
        <v>6.1366399999999999</v>
      </c>
      <c r="BC110" s="2">
        <f t="shared" si="167"/>
        <v>6.1366399999999999</v>
      </c>
      <c r="BD110" s="2">
        <f t="shared" si="168"/>
        <v>6.7503040000000007</v>
      </c>
      <c r="BE110" s="2">
        <f t="shared" si="169"/>
        <v>5.5229759999999999</v>
      </c>
      <c r="BF110" s="2">
        <f t="shared" si="133"/>
        <v>30.804000000000002</v>
      </c>
      <c r="BG110" s="2">
        <f t="shared" si="159"/>
        <v>6.1366399999999999</v>
      </c>
      <c r="BH110" s="2" t="str">
        <f t="shared" si="160"/>
        <v>5.83 Per Unit</v>
      </c>
      <c r="BI110" s="1">
        <f t="shared" si="173"/>
        <v>7.3639679999999998</v>
      </c>
      <c r="BJ110" s="2">
        <f t="shared" si="174"/>
        <v>6.1366399999999999</v>
      </c>
      <c r="BK110" s="2">
        <f t="shared" si="161"/>
        <v>5.8298079999999999</v>
      </c>
      <c r="BL110" s="2">
        <f t="shared" si="162"/>
        <v>6.1366399999999999</v>
      </c>
      <c r="BM110" s="1">
        <v>5.4359999999999999</v>
      </c>
      <c r="BN110" s="2">
        <f t="shared" si="163"/>
        <v>6.1366399999999999</v>
      </c>
      <c r="BO110" s="2">
        <f>MIN(N110:BN110:BN110)</f>
        <v>5.3769810000000007</v>
      </c>
      <c r="BP110" s="2">
        <f t="shared" si="170"/>
        <v>30.804000000000002</v>
      </c>
      <c r="BQ110" s="22"/>
    </row>
    <row r="111" spans="1:69" ht="20.100000000000001" customHeight="1" x14ac:dyDescent="0.2">
      <c r="A111" s="17">
        <f t="shared" si="128"/>
        <v>109</v>
      </c>
      <c r="B111" s="24">
        <v>84181</v>
      </c>
      <c r="C111" s="24">
        <v>3018418100</v>
      </c>
      <c r="D111" s="19" t="s">
        <v>181</v>
      </c>
      <c r="E111" s="18" t="s">
        <v>103</v>
      </c>
      <c r="F111" s="33">
        <v>102.18</v>
      </c>
      <c r="G111" s="24">
        <v>301</v>
      </c>
      <c r="H111" s="12">
        <v>0</v>
      </c>
      <c r="I111" s="24">
        <v>0</v>
      </c>
      <c r="J111" s="2">
        <f t="shared" si="134"/>
        <v>22.493224000000005</v>
      </c>
      <c r="K111" s="21" t="s">
        <v>104</v>
      </c>
      <c r="L111" s="1">
        <v>17.302480000000003</v>
      </c>
      <c r="M111" s="2">
        <v>15.159682000000002</v>
      </c>
      <c r="N111" s="12">
        <f>20.37*1.8</f>
        <v>36.666000000000004</v>
      </c>
      <c r="O111" s="2">
        <f t="shared" si="135"/>
        <v>17.302480000000003</v>
      </c>
      <c r="P111" s="1">
        <f t="shared" si="130"/>
        <v>66.417000000000002</v>
      </c>
      <c r="Q111" s="2">
        <f t="shared" si="136"/>
        <v>17.302480000000003</v>
      </c>
      <c r="R111" s="1">
        <f t="shared" si="137"/>
        <v>19.032728000000006</v>
      </c>
      <c r="S111" s="2">
        <f t="shared" si="138"/>
        <v>17.302480000000003</v>
      </c>
      <c r="T111" s="2">
        <v>26.840770000000003</v>
      </c>
      <c r="U111" s="1"/>
      <c r="V111" s="1">
        <v>59.09</v>
      </c>
      <c r="W111" s="2">
        <f t="shared" si="139"/>
        <v>17.302480000000003</v>
      </c>
      <c r="X111" s="2">
        <f t="shared" si="140"/>
        <v>17.302480000000003</v>
      </c>
      <c r="Y111" s="2">
        <f t="shared" si="141"/>
        <v>17.302480000000003</v>
      </c>
      <c r="Z111" s="2">
        <v>24.92</v>
      </c>
      <c r="AA111" s="2">
        <f t="shared" si="142"/>
        <v>16.437356000000001</v>
      </c>
      <c r="AB111" s="2">
        <f t="shared" si="143"/>
        <v>16.437356000000001</v>
      </c>
      <c r="AC111" s="2">
        <f t="shared" si="144"/>
        <v>17.302480000000003</v>
      </c>
      <c r="AD111" s="1">
        <f t="shared" si="145"/>
        <v>18.167604000000004</v>
      </c>
      <c r="AE111" s="2">
        <f t="shared" si="146"/>
        <v>17.302480000000003</v>
      </c>
      <c r="AF111" s="2">
        <f t="shared" si="147"/>
        <v>17.302480000000003</v>
      </c>
      <c r="AG111" s="2">
        <f t="shared" si="148"/>
        <v>15.918281600000004</v>
      </c>
      <c r="AH111" s="1">
        <f t="shared" si="131"/>
        <v>71.525999999999996</v>
      </c>
      <c r="AI111" s="2">
        <f t="shared" si="171"/>
        <v>17.302480000000003</v>
      </c>
      <c r="AJ111" s="2">
        <f t="shared" si="123"/>
        <v>17.302480000000003</v>
      </c>
      <c r="AK111" s="1">
        <f t="shared" si="149"/>
        <v>23.531372800000007</v>
      </c>
      <c r="AL111" s="2">
        <f t="shared" si="150"/>
        <v>17.302480000000003</v>
      </c>
      <c r="AM111" s="2">
        <f t="shared" si="151"/>
        <v>17.302480000000003</v>
      </c>
      <c r="AN111" s="1">
        <f t="shared" si="152"/>
        <v>17.302480000000003</v>
      </c>
      <c r="AO111" s="1">
        <f t="shared" si="153"/>
        <v>17.302480000000003</v>
      </c>
      <c r="AP111" s="2">
        <f t="shared" si="154"/>
        <v>15.159682000000002</v>
      </c>
      <c r="AQ111" s="2">
        <f t="shared" si="172"/>
        <v>17.302480000000003</v>
      </c>
      <c r="AR111" s="1">
        <f t="shared" si="132"/>
        <v>51.09</v>
      </c>
      <c r="AS111" s="2">
        <f t="shared" si="164"/>
        <v>37.899205000000002</v>
      </c>
      <c r="AT111" s="2">
        <f t="shared" si="155"/>
        <v>17.302480000000003</v>
      </c>
      <c r="AU111" s="2">
        <v>21.575434725000008</v>
      </c>
      <c r="AV111" s="2">
        <f t="shared" si="175"/>
        <v>16.675650200000003</v>
      </c>
      <c r="AW111" s="2">
        <f t="shared" si="156"/>
        <v>17.302480000000003</v>
      </c>
      <c r="AX111" s="1">
        <f t="shared" si="129"/>
        <v>16.437356000000001</v>
      </c>
      <c r="AY111" s="2" t="str">
        <f t="shared" si="157"/>
        <v>15.23 Per Unit</v>
      </c>
      <c r="AZ111" s="2">
        <f t="shared" si="158"/>
        <v>17.302480000000003</v>
      </c>
      <c r="BA111" s="2">
        <f t="shared" si="165"/>
        <v>17.302480000000003</v>
      </c>
      <c r="BB111" s="2">
        <f t="shared" si="166"/>
        <v>17.302480000000003</v>
      </c>
      <c r="BC111" s="2">
        <f t="shared" si="167"/>
        <v>17.302480000000003</v>
      </c>
      <c r="BD111" s="2">
        <f t="shared" si="168"/>
        <v>19.032728000000006</v>
      </c>
      <c r="BE111" s="2">
        <f t="shared" si="169"/>
        <v>15.572232000000003</v>
      </c>
      <c r="BF111" s="2">
        <f t="shared" si="133"/>
        <v>86.853000000000009</v>
      </c>
      <c r="BG111" s="2">
        <f t="shared" si="159"/>
        <v>17.302480000000003</v>
      </c>
      <c r="BH111" s="2" t="str">
        <f t="shared" si="160"/>
        <v>16.44 Per Unit</v>
      </c>
      <c r="BI111" s="1">
        <f t="shared" si="173"/>
        <v>20.762976000000002</v>
      </c>
      <c r="BJ111" s="2">
        <f t="shared" si="174"/>
        <v>17.302480000000003</v>
      </c>
      <c r="BK111" s="2">
        <f t="shared" si="161"/>
        <v>16.437356000000001</v>
      </c>
      <c r="BL111" s="2">
        <f t="shared" si="162"/>
        <v>17.302480000000003</v>
      </c>
      <c r="BM111" s="1">
        <v>15.327000000000002</v>
      </c>
      <c r="BN111" s="2">
        <f t="shared" si="163"/>
        <v>17.302480000000003</v>
      </c>
      <c r="BO111" s="2">
        <f>MIN(N111:BN111:BN111)</f>
        <v>15.159682000000002</v>
      </c>
      <c r="BP111" s="2">
        <f t="shared" si="170"/>
        <v>86.853000000000009</v>
      </c>
      <c r="BQ111" s="22"/>
    </row>
    <row r="112" spans="1:69" ht="20.100000000000001" customHeight="1" x14ac:dyDescent="0.2">
      <c r="A112" s="17">
        <f t="shared" si="128"/>
        <v>110</v>
      </c>
      <c r="B112" s="24">
        <v>80055</v>
      </c>
      <c r="C112" s="18" t="s">
        <v>88</v>
      </c>
      <c r="D112" s="19" t="s">
        <v>182</v>
      </c>
      <c r="E112" s="18" t="s">
        <v>103</v>
      </c>
      <c r="F112" s="9">
        <v>0</v>
      </c>
      <c r="G112" s="25" t="s">
        <v>88</v>
      </c>
      <c r="H112" s="12">
        <v>0</v>
      </c>
      <c r="I112" s="24">
        <v>0</v>
      </c>
      <c r="J112" s="2">
        <v>0</v>
      </c>
      <c r="K112" s="21" t="s">
        <v>104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1"/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f t="shared" si="123"/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f>MIN(N112:BN112:BN112)</f>
        <v>0</v>
      </c>
      <c r="BP112" s="2">
        <f t="shared" si="170"/>
        <v>0</v>
      </c>
      <c r="BQ112" s="22"/>
    </row>
    <row r="113" spans="1:69" ht="20.100000000000001" customHeight="1" x14ac:dyDescent="0.2">
      <c r="A113" s="17">
        <f t="shared" si="128"/>
        <v>111</v>
      </c>
      <c r="B113" s="24">
        <v>82247</v>
      </c>
      <c r="C113" s="18">
        <v>3018224700</v>
      </c>
      <c r="D113" s="19" t="s">
        <v>183</v>
      </c>
      <c r="E113" s="18" t="s">
        <v>103</v>
      </c>
      <c r="F113" s="9">
        <v>30.12</v>
      </c>
      <c r="G113" s="24">
        <v>301</v>
      </c>
      <c r="H113" s="12">
        <v>0</v>
      </c>
      <c r="I113" s="24">
        <v>0</v>
      </c>
      <c r="J113" s="2">
        <f t="shared" si="134"/>
        <v>6.6304160000000003</v>
      </c>
      <c r="K113" s="21" t="s">
        <v>104</v>
      </c>
      <c r="L113" s="2">
        <v>5.10032</v>
      </c>
      <c r="M113" s="2">
        <v>4.0953170000000005</v>
      </c>
      <c r="N113" s="12">
        <f>6*1.8</f>
        <v>10.8</v>
      </c>
      <c r="O113" s="2">
        <f t="shared" si="135"/>
        <v>5.10032</v>
      </c>
      <c r="P113" s="1">
        <f>F113*0.65</f>
        <v>19.578000000000003</v>
      </c>
      <c r="Q113" s="2">
        <f t="shared" si="136"/>
        <v>5.10032</v>
      </c>
      <c r="R113" s="1">
        <f t="shared" si="137"/>
        <v>5.6103520000000007</v>
      </c>
      <c r="S113" s="2">
        <f t="shared" si="138"/>
        <v>5.10032</v>
      </c>
      <c r="T113" s="2">
        <v>7.8824870000000002</v>
      </c>
      <c r="U113" s="1"/>
      <c r="V113" s="2">
        <v>17.41</v>
      </c>
      <c r="W113" s="2">
        <f t="shared" si="139"/>
        <v>5.10032</v>
      </c>
      <c r="X113" s="2">
        <f t="shared" si="140"/>
        <v>5.10032</v>
      </c>
      <c r="Y113" s="2">
        <f t="shared" si="141"/>
        <v>5.10032</v>
      </c>
      <c r="Z113" s="12">
        <v>7.3349999999999991</v>
      </c>
      <c r="AA113" s="2">
        <f t="shared" si="142"/>
        <v>4.8453039999999996</v>
      </c>
      <c r="AB113" s="2">
        <f t="shared" si="143"/>
        <v>4.8453039999999996</v>
      </c>
      <c r="AC113" s="2">
        <f t="shared" si="144"/>
        <v>5.10032</v>
      </c>
      <c r="AD113" s="1">
        <f t="shared" si="145"/>
        <v>5.3553360000000003</v>
      </c>
      <c r="AE113" s="2">
        <f t="shared" si="146"/>
        <v>5.10032</v>
      </c>
      <c r="AF113" s="2">
        <f t="shared" si="147"/>
        <v>5.10032</v>
      </c>
      <c r="AG113" s="2">
        <f t="shared" si="148"/>
        <v>4.6922943999999998</v>
      </c>
      <c r="AH113" s="1">
        <f>F113*0.7</f>
        <v>21.084</v>
      </c>
      <c r="AI113" s="2">
        <f t="shared" si="171"/>
        <v>5.10032</v>
      </c>
      <c r="AJ113" s="2">
        <f t="shared" si="123"/>
        <v>5.10032</v>
      </c>
      <c r="AK113" s="1">
        <f t="shared" si="149"/>
        <v>6.9364352</v>
      </c>
      <c r="AL113" s="2">
        <f t="shared" si="150"/>
        <v>5.10032</v>
      </c>
      <c r="AM113" s="2">
        <f t="shared" si="151"/>
        <v>5.10032</v>
      </c>
      <c r="AN113" s="1">
        <f t="shared" si="152"/>
        <v>5.10032</v>
      </c>
      <c r="AO113" s="1">
        <f t="shared" si="153"/>
        <v>5.10032</v>
      </c>
      <c r="AP113" s="2">
        <f t="shared" si="154"/>
        <v>4.0953170000000005</v>
      </c>
      <c r="AQ113" s="2">
        <f t="shared" si="172"/>
        <v>5.10032</v>
      </c>
      <c r="AR113" s="1">
        <f>F113*0.5</f>
        <v>15.06</v>
      </c>
      <c r="AS113" s="2">
        <f t="shared" si="164"/>
        <v>10.238292500000002</v>
      </c>
      <c r="AT113" s="2">
        <f t="shared" si="155"/>
        <v>5.10032</v>
      </c>
      <c r="AU113" s="2">
        <v>6.359875650000002</v>
      </c>
      <c r="AV113" s="2">
        <f t="shared" si="175"/>
        <v>4.504848700000001</v>
      </c>
      <c r="AW113" s="2">
        <f t="shared" si="156"/>
        <v>5.10032</v>
      </c>
      <c r="AX113" s="1">
        <f t="shared" si="129"/>
        <v>4.8453039999999996</v>
      </c>
      <c r="AY113" s="2" t="str">
        <f t="shared" si="157"/>
        <v>4.49 Per Unit</v>
      </c>
      <c r="AZ113" s="2">
        <f t="shared" si="158"/>
        <v>5.10032</v>
      </c>
      <c r="BA113" s="2">
        <f t="shared" si="165"/>
        <v>5.10032</v>
      </c>
      <c r="BB113" s="2">
        <f t="shared" si="166"/>
        <v>5.10032</v>
      </c>
      <c r="BC113" s="2">
        <f t="shared" si="167"/>
        <v>5.10032</v>
      </c>
      <c r="BD113" s="2">
        <f t="shared" si="168"/>
        <v>5.6103520000000007</v>
      </c>
      <c r="BE113" s="2">
        <f t="shared" si="169"/>
        <v>4.5902880000000001</v>
      </c>
      <c r="BF113" s="2">
        <f>F113*0.85</f>
        <v>25.602</v>
      </c>
      <c r="BG113" s="2">
        <f t="shared" si="159"/>
        <v>5.10032</v>
      </c>
      <c r="BH113" s="2" t="str">
        <f t="shared" si="160"/>
        <v>4.85 Per Unit</v>
      </c>
      <c r="BI113" s="1">
        <f t="shared" si="173"/>
        <v>6.1203839999999996</v>
      </c>
      <c r="BJ113" s="2">
        <f t="shared" si="174"/>
        <v>5.10032</v>
      </c>
      <c r="BK113" s="2">
        <f t="shared" si="161"/>
        <v>4.8453039999999996</v>
      </c>
      <c r="BL113" s="2">
        <f t="shared" si="162"/>
        <v>5.10032</v>
      </c>
      <c r="BM113" s="2">
        <v>4.5199999999999996</v>
      </c>
      <c r="BN113" s="2">
        <f t="shared" si="163"/>
        <v>5.10032</v>
      </c>
      <c r="BO113" s="2">
        <f>MIN(N113:BN113:BN113)</f>
        <v>4.0953170000000005</v>
      </c>
      <c r="BP113" s="2">
        <f t="shared" si="170"/>
        <v>25.602</v>
      </c>
      <c r="BQ113" s="22"/>
    </row>
    <row r="114" spans="1:69" ht="20.100000000000001" customHeight="1" x14ac:dyDescent="0.2">
      <c r="A114" s="17">
        <f t="shared" si="128"/>
        <v>112</v>
      </c>
      <c r="B114" s="24">
        <v>84154</v>
      </c>
      <c r="C114" s="18" t="s">
        <v>88</v>
      </c>
      <c r="D114" s="19" t="s">
        <v>184</v>
      </c>
      <c r="E114" s="18" t="s">
        <v>103</v>
      </c>
      <c r="F114" s="9">
        <v>0</v>
      </c>
      <c r="G114" s="25" t="s">
        <v>88</v>
      </c>
      <c r="H114" s="12">
        <v>0</v>
      </c>
      <c r="I114" s="24">
        <v>0</v>
      </c>
      <c r="J114" s="2">
        <v>0</v>
      </c>
      <c r="K114" s="21" t="s">
        <v>104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1"/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f>MIN(N114:BN114:BN114)</f>
        <v>0</v>
      </c>
      <c r="BP114" s="2">
        <f t="shared" si="170"/>
        <v>0</v>
      </c>
      <c r="BQ114" s="22"/>
    </row>
    <row r="115" spans="1:69" ht="20.100000000000001" customHeight="1" x14ac:dyDescent="0.2">
      <c r="A115" s="17">
        <f t="shared" si="128"/>
        <v>113</v>
      </c>
      <c r="B115" s="24">
        <v>97112</v>
      </c>
      <c r="C115" s="24">
        <v>4209711200</v>
      </c>
      <c r="D115" s="19" t="s">
        <v>185</v>
      </c>
      <c r="E115" s="24" t="s">
        <v>186</v>
      </c>
      <c r="F115" s="33">
        <v>114.9</v>
      </c>
      <c r="G115" s="24">
        <v>420</v>
      </c>
      <c r="H115" s="12">
        <v>0</v>
      </c>
      <c r="I115" s="24">
        <v>0</v>
      </c>
      <c r="J115" s="2">
        <f>L115*1.3</f>
        <v>51.37912</v>
      </c>
      <c r="K115" s="21" t="s">
        <v>187</v>
      </c>
      <c r="L115" s="2">
        <v>39.522399999999998</v>
      </c>
      <c r="M115" s="2">
        <v>12.235886000000002</v>
      </c>
      <c r="N115" s="2" t="str">
        <f>CONCATENATE(ROUND(22.61*1.8,2)," ",K115)</f>
        <v>40.7 Per 15 minutes</v>
      </c>
      <c r="O115" s="2" t="str">
        <f t="shared" ref="O115:O153" si="176">CONCATENATE(ROUND(L115,2)," ",K115)</f>
        <v>39.52 Per 15 minutes</v>
      </c>
      <c r="P115" s="1" t="s">
        <v>188</v>
      </c>
      <c r="Q115" s="2" t="str">
        <f t="shared" ref="Q115:Q153" si="177">CONCATENATE(ROUND(L115,2)," ",K115)</f>
        <v>39.52 Per 15 minutes</v>
      </c>
      <c r="R115" s="2" t="str">
        <f t="shared" ref="R115:R153" si="178">CONCATENATE(ROUND(L115*1.1,2)," ",K115)</f>
        <v>43.47 Per 15 minutes</v>
      </c>
      <c r="S115" s="2" t="str">
        <f t="shared" ref="S115:S153" si="179">CONCATENATE(ROUND(L115,2)," ",K115)</f>
        <v>39.52 Per 15 minutes</v>
      </c>
      <c r="T115" s="1" t="s">
        <v>413</v>
      </c>
      <c r="U115" s="1"/>
      <c r="V115" s="1" t="s">
        <v>412</v>
      </c>
      <c r="W115" s="2" t="str">
        <f t="shared" ref="W115:W153" si="180">CONCATENATE(ROUND(L115,2)," ",K115)</f>
        <v>39.52 Per 15 minutes</v>
      </c>
      <c r="X115" s="2" t="str">
        <f t="shared" ref="X115:X153" si="181">CONCATENATE(ROUND(L115,2)," ",K115)</f>
        <v>39.52 Per 15 minutes</v>
      </c>
      <c r="Y115" s="2" t="str">
        <f t="shared" ref="Y115:Y153" si="182">CONCATENATE(ROUND(L115,2)," ",K115)</f>
        <v>39.52 Per 15 minutes</v>
      </c>
      <c r="Z115" s="1" t="s">
        <v>189</v>
      </c>
      <c r="AA115" s="2" t="str">
        <f t="shared" ref="AA115:AA153" si="183">CONCATENATE(ROUND(L115*0.95,2)," ",K115)</f>
        <v>37.55 Per 15 minutes</v>
      </c>
      <c r="AB115" s="2" t="str">
        <f t="shared" ref="AB115:AB153" si="184">CONCATENATE(ROUND(L115*0.95,2)," ",K115)</f>
        <v>37.55 Per 15 minutes</v>
      </c>
      <c r="AC115" s="2" t="str">
        <f t="shared" ref="AC115:AC153" si="185">CONCATENATE(ROUND(L115,2)," ",K115)</f>
        <v>39.52 Per 15 minutes</v>
      </c>
      <c r="AD115" s="2" t="str">
        <f t="shared" ref="AD115:AD153" si="186">CONCATENATE(ROUND(L115*1.05,2)," ",K115)</f>
        <v>41.5 Per 15 minutes</v>
      </c>
      <c r="AE115" s="2" t="str">
        <f t="shared" ref="AE115:AE153" si="187">CONCATENATE(ROUND(L115,2)," ",K115)</f>
        <v>39.52 Per 15 minutes</v>
      </c>
      <c r="AF115" s="2" t="str">
        <f t="shared" ref="AF115:AF153" si="188">CONCATENATE(ROUND(L115,2)," ",K115)</f>
        <v>39.52 Per 15 minutes</v>
      </c>
      <c r="AG115" s="2" t="str">
        <f t="shared" ref="AG115:AG153" si="189">CONCATENATE(ROUND(L115*0.92,2)," ",K115)</f>
        <v>36.36 Per 15 minutes</v>
      </c>
      <c r="AH115" s="2">
        <f t="shared" ref="AH115:AH126" si="190">F115*0.7</f>
        <v>80.429999999999993</v>
      </c>
      <c r="AI115" s="1" t="s">
        <v>196</v>
      </c>
      <c r="AJ115" s="1" t="s">
        <v>190</v>
      </c>
      <c r="AK115" s="1" t="s">
        <v>191</v>
      </c>
      <c r="AL115" s="2" t="str">
        <f t="shared" ref="AL115:AL153" si="191">CONCATENATE(ROUND(L115,2)," ",K115)</f>
        <v>39.52 Per 15 minutes</v>
      </c>
      <c r="AM115" s="2" t="str">
        <f t="shared" ref="AM115:AM153" si="192">CONCATENATE(ROUND(L115,2)," ",K115)</f>
        <v>39.52 Per 15 minutes</v>
      </c>
      <c r="AN115" s="1" t="s">
        <v>192</v>
      </c>
      <c r="AO115" s="1" t="s">
        <v>192</v>
      </c>
      <c r="AP115" s="1" t="s">
        <v>193</v>
      </c>
      <c r="AQ115" s="1" t="s">
        <v>194</v>
      </c>
      <c r="AR115" s="1" t="s">
        <v>63</v>
      </c>
      <c r="AS115" s="1" t="s">
        <v>195</v>
      </c>
      <c r="AT115" s="1" t="s">
        <v>195</v>
      </c>
      <c r="AU115" s="1">
        <v>158.3634375</v>
      </c>
      <c r="AV115" s="2" t="str">
        <f t="shared" ref="AV115:AV121" si="193">CONCATENATE(ROUND(M115*1.1,2)," ",K115)</f>
        <v>13.46 Per 15 minutes</v>
      </c>
      <c r="AW115" s="2" t="str">
        <f t="shared" ref="AW115:AW153" si="194">CONCATENATE(ROUND(L115,2)," ",K115)</f>
        <v>39.52 Per 15 minutes</v>
      </c>
      <c r="AX115" s="2" t="str">
        <f t="shared" ref="AX115:AX153" si="195">CONCATENATE(ROUND(L115*0.95,2)," ",K115)</f>
        <v>37.55 Per 15 minutes</v>
      </c>
      <c r="AY115" s="2" t="str">
        <f t="shared" ref="AY115:AY146" si="196">CONCATENATE(ROUND(L115*0.88,2)," ",K115)</f>
        <v>34.78 Per 15 minutes</v>
      </c>
      <c r="AZ115" s="2" t="s">
        <v>196</v>
      </c>
      <c r="BA115" s="1" t="s">
        <v>198</v>
      </c>
      <c r="BB115" s="1" t="s">
        <v>198</v>
      </c>
      <c r="BC115" s="2">
        <v>0</v>
      </c>
      <c r="BD115" s="2">
        <v>0</v>
      </c>
      <c r="BE115" s="2">
        <v>0</v>
      </c>
      <c r="BF115" s="1" t="s">
        <v>199</v>
      </c>
      <c r="BG115" s="2" t="str">
        <f t="shared" ref="BG115:BG153" si="197">CONCATENATE(ROUND(L115,2)," ",K115)</f>
        <v>39.52 Per 15 minutes</v>
      </c>
      <c r="BH115" s="2" t="str">
        <f t="shared" ref="BH115:BH153" si="198">CONCATENATE(ROUND(L115*0.95,2)," ",K115)</f>
        <v>37.55 Per 15 minutes</v>
      </c>
      <c r="BI115" s="1" t="s">
        <v>63</v>
      </c>
      <c r="BJ115" s="1" t="s">
        <v>63</v>
      </c>
      <c r="BK115" s="2" t="str">
        <f t="shared" ref="BK115:BK153" si="199">CONCATENATE(ROUND(L115*0.95,2)," ",K115)</f>
        <v>37.55 Per 15 minutes</v>
      </c>
      <c r="BL115" s="2" t="str">
        <f t="shared" ref="BL115:BL153" si="200">CONCATENATE(ROUND(L115,2)," ",K115)</f>
        <v>39.52 Per 15 minutes</v>
      </c>
      <c r="BM115" s="1" t="s">
        <v>200</v>
      </c>
      <c r="BN115" s="1" t="s">
        <v>198</v>
      </c>
      <c r="BO115" s="2" t="str">
        <f t="shared" ref="BO115:BO121" si="201">AV115</f>
        <v>13.46 Per 15 minutes</v>
      </c>
      <c r="BP115" s="2" t="s">
        <v>201</v>
      </c>
      <c r="BQ115" s="22"/>
    </row>
    <row r="116" spans="1:69" ht="20.100000000000001" customHeight="1" x14ac:dyDescent="0.2">
      <c r="A116" s="17">
        <f t="shared" si="128"/>
        <v>114</v>
      </c>
      <c r="B116" s="24">
        <v>97140</v>
      </c>
      <c r="C116" s="24">
        <v>4209714000</v>
      </c>
      <c r="D116" s="19" t="s">
        <v>202</v>
      </c>
      <c r="E116" s="24" t="s">
        <v>186</v>
      </c>
      <c r="F116" s="33">
        <v>90.99</v>
      </c>
      <c r="G116" s="24">
        <v>420</v>
      </c>
      <c r="H116" s="12">
        <v>0</v>
      </c>
      <c r="I116" s="24">
        <v>0</v>
      </c>
      <c r="J116" s="2">
        <f>L116*1.3</f>
        <v>40.41648</v>
      </c>
      <c r="K116" s="21" t="s">
        <v>187</v>
      </c>
      <c r="L116" s="2">
        <v>31.089600000000001</v>
      </c>
      <c r="M116" s="2">
        <v>22.238873000000002</v>
      </c>
      <c r="N116" s="2" t="str">
        <f>CONCATENATE(ROUND(20.26*1.8,2)," ",K116)</f>
        <v>36.47 Per 15 minutes</v>
      </c>
      <c r="O116" s="2" t="str">
        <f t="shared" si="176"/>
        <v>31.09 Per 15 minutes</v>
      </c>
      <c r="P116" s="1" t="s">
        <v>188</v>
      </c>
      <c r="Q116" s="2" t="str">
        <f t="shared" si="177"/>
        <v>31.09 Per 15 minutes</v>
      </c>
      <c r="R116" s="2" t="str">
        <f t="shared" si="178"/>
        <v>34.2 Per 15 minutes</v>
      </c>
      <c r="S116" s="2" t="str">
        <f t="shared" si="179"/>
        <v>31.09 Per 15 minutes</v>
      </c>
      <c r="T116" s="1" t="s">
        <v>413</v>
      </c>
      <c r="U116" s="1"/>
      <c r="V116" s="1" t="s">
        <v>412</v>
      </c>
      <c r="W116" s="2" t="str">
        <f t="shared" si="180"/>
        <v>31.09 Per 15 minutes</v>
      </c>
      <c r="X116" s="2" t="str">
        <f t="shared" si="181"/>
        <v>31.09 Per 15 minutes</v>
      </c>
      <c r="Y116" s="2" t="str">
        <f t="shared" si="182"/>
        <v>31.09 Per 15 minutes</v>
      </c>
      <c r="Z116" s="1" t="s">
        <v>189</v>
      </c>
      <c r="AA116" s="2" t="str">
        <f t="shared" si="183"/>
        <v>29.54 Per 15 minutes</v>
      </c>
      <c r="AB116" s="2" t="str">
        <f t="shared" si="184"/>
        <v>29.54 Per 15 minutes</v>
      </c>
      <c r="AC116" s="2" t="str">
        <f t="shared" si="185"/>
        <v>31.09 Per 15 minutes</v>
      </c>
      <c r="AD116" s="2" t="str">
        <f t="shared" si="186"/>
        <v>32.64 Per 15 minutes</v>
      </c>
      <c r="AE116" s="2" t="str">
        <f t="shared" si="187"/>
        <v>31.09 Per 15 minutes</v>
      </c>
      <c r="AF116" s="2" t="str">
        <f t="shared" si="188"/>
        <v>31.09 Per 15 minutes</v>
      </c>
      <c r="AG116" s="2" t="str">
        <f t="shared" si="189"/>
        <v>28.6 Per 15 minutes</v>
      </c>
      <c r="AH116" s="2">
        <f t="shared" si="190"/>
        <v>63.692999999999991</v>
      </c>
      <c r="AI116" s="1" t="s">
        <v>196</v>
      </c>
      <c r="AJ116" s="1" t="s">
        <v>190</v>
      </c>
      <c r="AK116" s="1" t="s">
        <v>191</v>
      </c>
      <c r="AL116" s="2" t="str">
        <f t="shared" si="191"/>
        <v>31.09 Per 15 minutes</v>
      </c>
      <c r="AM116" s="2" t="str">
        <f t="shared" si="192"/>
        <v>31.09 Per 15 minutes</v>
      </c>
      <c r="AN116" s="1" t="s">
        <v>192</v>
      </c>
      <c r="AO116" s="1" t="s">
        <v>192</v>
      </c>
      <c r="AP116" s="1" t="s">
        <v>193</v>
      </c>
      <c r="AQ116" s="1" t="s">
        <v>194</v>
      </c>
      <c r="AR116" s="1" t="s">
        <v>63</v>
      </c>
      <c r="AS116" s="1" t="s">
        <v>195</v>
      </c>
      <c r="AT116" s="1" t="s">
        <v>195</v>
      </c>
      <c r="AU116" s="1">
        <v>158.3634375</v>
      </c>
      <c r="AV116" s="2" t="str">
        <f t="shared" si="193"/>
        <v>24.46 Per 15 minutes</v>
      </c>
      <c r="AW116" s="2" t="str">
        <f t="shared" si="194"/>
        <v>31.09 Per 15 minutes</v>
      </c>
      <c r="AX116" s="2" t="str">
        <f t="shared" si="195"/>
        <v>29.54 Per 15 minutes</v>
      </c>
      <c r="AY116" s="2" t="str">
        <f t="shared" si="196"/>
        <v>27.36 Per 15 minutes</v>
      </c>
      <c r="AZ116" s="2" t="s">
        <v>196</v>
      </c>
      <c r="BA116" s="1" t="s">
        <v>198</v>
      </c>
      <c r="BB116" s="1" t="s">
        <v>198</v>
      </c>
      <c r="BC116" s="2">
        <v>0</v>
      </c>
      <c r="BD116" s="2">
        <v>0</v>
      </c>
      <c r="BE116" s="2">
        <v>0</v>
      </c>
      <c r="BF116" s="1" t="s">
        <v>199</v>
      </c>
      <c r="BG116" s="2" t="str">
        <f t="shared" si="197"/>
        <v>31.09 Per 15 minutes</v>
      </c>
      <c r="BH116" s="2" t="str">
        <f t="shared" si="198"/>
        <v>29.54 Per 15 minutes</v>
      </c>
      <c r="BI116" s="1" t="s">
        <v>63</v>
      </c>
      <c r="BJ116" s="1" t="s">
        <v>63</v>
      </c>
      <c r="BK116" s="2" t="str">
        <f t="shared" si="199"/>
        <v>29.54 Per 15 minutes</v>
      </c>
      <c r="BL116" s="2" t="str">
        <f t="shared" si="200"/>
        <v>31.09 Per 15 minutes</v>
      </c>
      <c r="BM116" s="1" t="s">
        <v>200</v>
      </c>
      <c r="BN116" s="1" t="s">
        <v>198</v>
      </c>
      <c r="BO116" s="2" t="str">
        <f t="shared" si="201"/>
        <v>24.46 Per 15 minutes</v>
      </c>
      <c r="BP116" s="2" t="s">
        <v>201</v>
      </c>
      <c r="BQ116" s="22"/>
    </row>
    <row r="117" spans="1:69" ht="20.100000000000001" customHeight="1" x14ac:dyDescent="0.2">
      <c r="A117" s="17">
        <f t="shared" si="128"/>
        <v>115</v>
      </c>
      <c r="B117" s="24">
        <v>97530</v>
      </c>
      <c r="C117" s="24">
        <v>4209753000</v>
      </c>
      <c r="D117" s="19" t="s">
        <v>203</v>
      </c>
      <c r="E117" s="24" t="s">
        <v>186</v>
      </c>
      <c r="F117" s="33">
        <v>126.99</v>
      </c>
      <c r="G117" s="24">
        <v>420</v>
      </c>
      <c r="H117" s="12">
        <v>0</v>
      </c>
      <c r="I117" s="24">
        <v>0</v>
      </c>
      <c r="J117" s="2">
        <v>120</v>
      </c>
      <c r="K117" s="21" t="s">
        <v>187</v>
      </c>
      <c r="L117" s="2">
        <v>44.795440000000006</v>
      </c>
      <c r="M117" s="2">
        <v>11.154482000000002</v>
      </c>
      <c r="N117" s="2" t="str">
        <f>CONCATENATE(ROUND(23.73*1.8,2)," ",K117)</f>
        <v>42.71 Per 15 minutes</v>
      </c>
      <c r="O117" s="2" t="str">
        <f t="shared" si="176"/>
        <v>44.8 Per 15 minutes</v>
      </c>
      <c r="P117" s="1" t="s">
        <v>188</v>
      </c>
      <c r="Q117" s="2" t="str">
        <f t="shared" si="177"/>
        <v>44.8 Per 15 minutes</v>
      </c>
      <c r="R117" s="2" t="str">
        <f t="shared" si="178"/>
        <v>49.27 Per 15 minutes</v>
      </c>
      <c r="S117" s="2" t="str">
        <f t="shared" si="179"/>
        <v>44.8 Per 15 minutes</v>
      </c>
      <c r="T117" s="1" t="s">
        <v>413</v>
      </c>
      <c r="U117" s="1"/>
      <c r="V117" s="1" t="s">
        <v>412</v>
      </c>
      <c r="W117" s="2" t="str">
        <f t="shared" si="180"/>
        <v>44.8 Per 15 minutes</v>
      </c>
      <c r="X117" s="2" t="str">
        <f t="shared" si="181"/>
        <v>44.8 Per 15 minutes</v>
      </c>
      <c r="Y117" s="2" t="str">
        <f t="shared" si="182"/>
        <v>44.8 Per 15 minutes</v>
      </c>
      <c r="Z117" s="1" t="s">
        <v>189</v>
      </c>
      <c r="AA117" s="2" t="str">
        <f t="shared" si="183"/>
        <v>42.56 Per 15 minutes</v>
      </c>
      <c r="AB117" s="2" t="str">
        <f t="shared" si="184"/>
        <v>42.56 Per 15 minutes</v>
      </c>
      <c r="AC117" s="2" t="str">
        <f t="shared" si="185"/>
        <v>44.8 Per 15 minutes</v>
      </c>
      <c r="AD117" s="2" t="str">
        <f t="shared" si="186"/>
        <v>47.04 Per 15 minutes</v>
      </c>
      <c r="AE117" s="2" t="str">
        <f t="shared" si="187"/>
        <v>44.8 Per 15 minutes</v>
      </c>
      <c r="AF117" s="2" t="str">
        <f t="shared" si="188"/>
        <v>44.8 Per 15 minutes</v>
      </c>
      <c r="AG117" s="2" t="str">
        <f t="shared" si="189"/>
        <v>41.21 Per 15 minutes</v>
      </c>
      <c r="AH117" s="2">
        <f t="shared" si="190"/>
        <v>88.892999999999986</v>
      </c>
      <c r="AI117" s="1" t="s">
        <v>196</v>
      </c>
      <c r="AJ117" s="1" t="s">
        <v>190</v>
      </c>
      <c r="AK117" s="1" t="s">
        <v>191</v>
      </c>
      <c r="AL117" s="2" t="str">
        <f t="shared" si="191"/>
        <v>44.8 Per 15 minutes</v>
      </c>
      <c r="AM117" s="2" t="str">
        <f t="shared" si="192"/>
        <v>44.8 Per 15 minutes</v>
      </c>
      <c r="AN117" s="1" t="s">
        <v>192</v>
      </c>
      <c r="AO117" s="1" t="s">
        <v>192</v>
      </c>
      <c r="AP117" s="1" t="s">
        <v>193</v>
      </c>
      <c r="AQ117" s="1" t="s">
        <v>194</v>
      </c>
      <c r="AR117" s="1" t="s">
        <v>63</v>
      </c>
      <c r="AS117" s="1" t="s">
        <v>204</v>
      </c>
      <c r="AT117" s="1" t="s">
        <v>190</v>
      </c>
      <c r="AU117" s="1">
        <v>158.3634375</v>
      </c>
      <c r="AV117" s="2" t="str">
        <f t="shared" si="193"/>
        <v>12.27 Per 15 minutes</v>
      </c>
      <c r="AW117" s="2" t="str">
        <f t="shared" si="194"/>
        <v>44.8 Per 15 minutes</v>
      </c>
      <c r="AX117" s="2" t="str">
        <f t="shared" si="195"/>
        <v>42.56 Per 15 minutes</v>
      </c>
      <c r="AY117" s="2" t="str">
        <f t="shared" si="196"/>
        <v>39.42 Per 15 minutes</v>
      </c>
      <c r="AZ117" s="2" t="s">
        <v>196</v>
      </c>
      <c r="BA117" s="1" t="s">
        <v>198</v>
      </c>
      <c r="BB117" s="1" t="s">
        <v>198</v>
      </c>
      <c r="BC117" s="2">
        <v>0</v>
      </c>
      <c r="BD117" s="2">
        <v>0</v>
      </c>
      <c r="BE117" s="2">
        <v>0</v>
      </c>
      <c r="BF117" s="1" t="s">
        <v>199</v>
      </c>
      <c r="BG117" s="2" t="str">
        <f t="shared" si="197"/>
        <v>44.8 Per 15 minutes</v>
      </c>
      <c r="BH117" s="2" t="str">
        <f t="shared" si="198"/>
        <v>42.56 Per 15 minutes</v>
      </c>
      <c r="BI117" s="1" t="s">
        <v>63</v>
      </c>
      <c r="BJ117" s="1" t="s">
        <v>63</v>
      </c>
      <c r="BK117" s="2" t="str">
        <f t="shared" si="199"/>
        <v>42.56 Per 15 minutes</v>
      </c>
      <c r="BL117" s="2" t="str">
        <f t="shared" si="200"/>
        <v>44.8 Per 15 minutes</v>
      </c>
      <c r="BM117" s="1" t="s">
        <v>200</v>
      </c>
      <c r="BN117" s="1" t="s">
        <v>198</v>
      </c>
      <c r="BO117" s="2" t="str">
        <f t="shared" si="201"/>
        <v>12.27 Per 15 minutes</v>
      </c>
      <c r="BP117" s="2" t="s">
        <v>201</v>
      </c>
      <c r="BQ117" s="22"/>
    </row>
    <row r="118" spans="1:69" ht="20.100000000000001" customHeight="1" x14ac:dyDescent="0.2">
      <c r="A118" s="17">
        <f t="shared" si="128"/>
        <v>116</v>
      </c>
      <c r="B118" s="17">
        <v>97113</v>
      </c>
      <c r="C118" s="24">
        <v>4209711300</v>
      </c>
      <c r="D118" s="19" t="s">
        <v>205</v>
      </c>
      <c r="E118" s="24" t="s">
        <v>186</v>
      </c>
      <c r="F118" s="33">
        <v>125.22</v>
      </c>
      <c r="G118" s="24">
        <v>420</v>
      </c>
      <c r="H118" s="12">
        <v>0</v>
      </c>
      <c r="I118" s="24">
        <v>0</v>
      </c>
      <c r="J118" s="2">
        <f>L118*1.3</f>
        <v>56.371744</v>
      </c>
      <c r="K118" s="21" t="s">
        <v>187</v>
      </c>
      <c r="L118" s="2">
        <v>43.362879999999997</v>
      </c>
      <c r="M118" s="2">
        <v>13.948109000000001</v>
      </c>
      <c r="N118" s="2" t="str">
        <f>CONCATENATE(ROUND(28.85*1.8,2)," ",K118)</f>
        <v>51.93 Per 15 minutes</v>
      </c>
      <c r="O118" s="2" t="str">
        <f t="shared" si="176"/>
        <v>43.36 Per 15 minutes</v>
      </c>
      <c r="P118" s="1" t="s">
        <v>188</v>
      </c>
      <c r="Q118" s="2" t="str">
        <f t="shared" si="177"/>
        <v>43.36 Per 15 minutes</v>
      </c>
      <c r="R118" s="2" t="str">
        <f t="shared" si="178"/>
        <v>47.7 Per 15 minutes</v>
      </c>
      <c r="S118" s="2" t="str">
        <f t="shared" si="179"/>
        <v>43.36 Per 15 minutes</v>
      </c>
      <c r="T118" s="1" t="s">
        <v>413</v>
      </c>
      <c r="U118" s="1"/>
      <c r="V118" s="1" t="s">
        <v>412</v>
      </c>
      <c r="W118" s="2" t="str">
        <f t="shared" si="180"/>
        <v>43.36 Per 15 minutes</v>
      </c>
      <c r="X118" s="2" t="str">
        <f t="shared" si="181"/>
        <v>43.36 Per 15 minutes</v>
      </c>
      <c r="Y118" s="2" t="str">
        <f t="shared" si="182"/>
        <v>43.36 Per 15 minutes</v>
      </c>
      <c r="Z118" s="1" t="s">
        <v>189</v>
      </c>
      <c r="AA118" s="2" t="str">
        <f t="shared" si="183"/>
        <v>41.19 Per 15 minutes</v>
      </c>
      <c r="AB118" s="2" t="str">
        <f t="shared" si="184"/>
        <v>41.19 Per 15 minutes</v>
      </c>
      <c r="AC118" s="2" t="str">
        <f t="shared" si="185"/>
        <v>43.36 Per 15 minutes</v>
      </c>
      <c r="AD118" s="2" t="str">
        <f t="shared" si="186"/>
        <v>45.53 Per 15 minutes</v>
      </c>
      <c r="AE118" s="2" t="str">
        <f t="shared" si="187"/>
        <v>43.36 Per 15 minutes</v>
      </c>
      <c r="AF118" s="2" t="str">
        <f t="shared" si="188"/>
        <v>43.36 Per 15 minutes</v>
      </c>
      <c r="AG118" s="2" t="str">
        <f t="shared" si="189"/>
        <v>39.89 Per 15 minutes</v>
      </c>
      <c r="AH118" s="2">
        <f t="shared" si="190"/>
        <v>87.653999999999996</v>
      </c>
      <c r="AI118" s="1" t="s">
        <v>196</v>
      </c>
      <c r="AJ118" s="1" t="s">
        <v>190</v>
      </c>
      <c r="AK118" s="1" t="s">
        <v>191</v>
      </c>
      <c r="AL118" s="2" t="str">
        <f t="shared" si="191"/>
        <v>43.36 Per 15 minutes</v>
      </c>
      <c r="AM118" s="2" t="str">
        <f t="shared" si="192"/>
        <v>43.36 Per 15 minutes</v>
      </c>
      <c r="AN118" s="1" t="s">
        <v>192</v>
      </c>
      <c r="AO118" s="1" t="s">
        <v>192</v>
      </c>
      <c r="AP118" s="1" t="s">
        <v>193</v>
      </c>
      <c r="AQ118" s="1" t="s">
        <v>194</v>
      </c>
      <c r="AR118" s="1" t="s">
        <v>63</v>
      </c>
      <c r="AS118" s="1" t="s">
        <v>195</v>
      </c>
      <c r="AT118" s="1" t="s">
        <v>195</v>
      </c>
      <c r="AU118" s="1">
        <v>158.3634375</v>
      </c>
      <c r="AV118" s="2" t="str">
        <f t="shared" si="193"/>
        <v>15.34 Per 15 minutes</v>
      </c>
      <c r="AW118" s="2" t="str">
        <f t="shared" si="194"/>
        <v>43.36 Per 15 minutes</v>
      </c>
      <c r="AX118" s="2" t="str">
        <f t="shared" si="195"/>
        <v>41.19 Per 15 minutes</v>
      </c>
      <c r="AY118" s="2" t="str">
        <f t="shared" si="196"/>
        <v>38.16 Per 15 minutes</v>
      </c>
      <c r="AZ118" s="2" t="s">
        <v>196</v>
      </c>
      <c r="BA118" s="1" t="s">
        <v>198</v>
      </c>
      <c r="BB118" s="1" t="s">
        <v>198</v>
      </c>
      <c r="BC118" s="2">
        <v>0</v>
      </c>
      <c r="BD118" s="2">
        <v>0</v>
      </c>
      <c r="BE118" s="2">
        <v>0</v>
      </c>
      <c r="BF118" s="1" t="s">
        <v>199</v>
      </c>
      <c r="BG118" s="2" t="str">
        <f t="shared" si="197"/>
        <v>43.36 Per 15 minutes</v>
      </c>
      <c r="BH118" s="2" t="str">
        <f t="shared" si="198"/>
        <v>41.19 Per 15 minutes</v>
      </c>
      <c r="BI118" s="1" t="s">
        <v>63</v>
      </c>
      <c r="BJ118" s="1" t="s">
        <v>63</v>
      </c>
      <c r="BK118" s="2" t="str">
        <f t="shared" si="199"/>
        <v>41.19 Per 15 minutes</v>
      </c>
      <c r="BL118" s="2" t="str">
        <f t="shared" si="200"/>
        <v>43.36 Per 15 minutes</v>
      </c>
      <c r="BM118" s="1" t="s">
        <v>200</v>
      </c>
      <c r="BN118" s="1" t="s">
        <v>198</v>
      </c>
      <c r="BO118" s="2" t="str">
        <f t="shared" si="201"/>
        <v>15.34 Per 15 minutes</v>
      </c>
      <c r="BP118" s="2" t="s">
        <v>201</v>
      </c>
      <c r="BQ118" s="22"/>
    </row>
    <row r="119" spans="1:69" ht="20.100000000000001" customHeight="1" x14ac:dyDescent="0.2">
      <c r="A119" s="17">
        <f t="shared" si="128"/>
        <v>117</v>
      </c>
      <c r="B119" s="17">
        <v>92507</v>
      </c>
      <c r="C119" s="24">
        <v>4409250700</v>
      </c>
      <c r="D119" s="26" t="s">
        <v>206</v>
      </c>
      <c r="E119" s="24" t="s">
        <v>186</v>
      </c>
      <c r="F119" s="33">
        <v>254.28</v>
      </c>
      <c r="G119" s="24">
        <v>440</v>
      </c>
      <c r="H119" s="12">
        <v>0</v>
      </c>
      <c r="I119" s="24">
        <v>0</v>
      </c>
      <c r="J119" s="2">
        <v>120</v>
      </c>
      <c r="K119" s="21" t="s">
        <v>91</v>
      </c>
      <c r="L119" s="2">
        <v>86.715599999999995</v>
      </c>
      <c r="M119" s="2">
        <v>29.758636000000003</v>
      </c>
      <c r="N119" s="2" t="str">
        <f>CONCATENATE(ROUND(75.64*1.8,2)," ",K119)</f>
        <v xml:space="preserve">136.15 Per Visit </v>
      </c>
      <c r="O119" s="2" t="str">
        <f t="shared" si="176"/>
        <v xml:space="preserve">86.72 Per Visit </v>
      </c>
      <c r="P119" s="1" t="s">
        <v>188</v>
      </c>
      <c r="Q119" s="2" t="str">
        <f t="shared" si="177"/>
        <v xml:space="preserve">86.72 Per Visit </v>
      </c>
      <c r="R119" s="2" t="str">
        <f t="shared" si="178"/>
        <v xml:space="preserve">95.39 Per Visit </v>
      </c>
      <c r="S119" s="2" t="str">
        <f t="shared" si="179"/>
        <v xml:space="preserve">86.72 Per Visit </v>
      </c>
      <c r="T119" s="1" t="s">
        <v>413</v>
      </c>
      <c r="U119" s="1"/>
      <c r="V119" s="1" t="s">
        <v>412</v>
      </c>
      <c r="W119" s="2" t="str">
        <f t="shared" si="180"/>
        <v xml:space="preserve">86.72 Per Visit </v>
      </c>
      <c r="X119" s="2" t="str">
        <f t="shared" si="181"/>
        <v xml:space="preserve">86.72 Per Visit </v>
      </c>
      <c r="Y119" s="2" t="str">
        <f t="shared" si="182"/>
        <v xml:space="preserve">86.72 Per Visit </v>
      </c>
      <c r="Z119" s="1" t="s">
        <v>189</v>
      </c>
      <c r="AA119" s="2" t="str">
        <f t="shared" si="183"/>
        <v xml:space="preserve">82.38 Per Visit </v>
      </c>
      <c r="AB119" s="2" t="str">
        <f t="shared" si="184"/>
        <v xml:space="preserve">82.38 Per Visit </v>
      </c>
      <c r="AC119" s="2" t="str">
        <f t="shared" si="185"/>
        <v xml:space="preserve">86.72 Per Visit </v>
      </c>
      <c r="AD119" s="2" t="str">
        <f t="shared" si="186"/>
        <v xml:space="preserve">91.05 Per Visit </v>
      </c>
      <c r="AE119" s="2" t="str">
        <f t="shared" si="187"/>
        <v xml:space="preserve">86.72 Per Visit </v>
      </c>
      <c r="AF119" s="2" t="str">
        <f t="shared" si="188"/>
        <v xml:space="preserve">86.72 Per Visit </v>
      </c>
      <c r="AG119" s="2" t="str">
        <f t="shared" si="189"/>
        <v xml:space="preserve">79.78 Per Visit </v>
      </c>
      <c r="AH119" s="2">
        <f t="shared" si="190"/>
        <v>177.99599999999998</v>
      </c>
      <c r="AI119" s="1" t="s">
        <v>196</v>
      </c>
      <c r="AJ119" s="1" t="s">
        <v>190</v>
      </c>
      <c r="AK119" s="1" t="s">
        <v>191</v>
      </c>
      <c r="AL119" s="2" t="str">
        <f t="shared" si="191"/>
        <v xml:space="preserve">86.72 Per Visit </v>
      </c>
      <c r="AM119" s="2" t="str">
        <f t="shared" si="192"/>
        <v xml:space="preserve">86.72 Per Visit </v>
      </c>
      <c r="AN119" s="1" t="s">
        <v>192</v>
      </c>
      <c r="AO119" s="1" t="s">
        <v>192</v>
      </c>
      <c r="AP119" s="1" t="s">
        <v>193</v>
      </c>
      <c r="AQ119" s="1" t="s">
        <v>194</v>
      </c>
      <c r="AR119" s="1" t="s">
        <v>63</v>
      </c>
      <c r="AS119" s="1" t="s">
        <v>204</v>
      </c>
      <c r="AT119" s="1" t="s">
        <v>190</v>
      </c>
      <c r="AU119" s="1">
        <v>158.3634375</v>
      </c>
      <c r="AV119" s="2" t="str">
        <f t="shared" si="193"/>
        <v xml:space="preserve">32.73 Per Visit </v>
      </c>
      <c r="AW119" s="2" t="str">
        <f t="shared" si="194"/>
        <v xml:space="preserve">86.72 Per Visit </v>
      </c>
      <c r="AX119" s="2" t="str">
        <f t="shared" si="195"/>
        <v xml:space="preserve">82.38 Per Visit </v>
      </c>
      <c r="AY119" s="2" t="str">
        <f t="shared" si="196"/>
        <v xml:space="preserve">76.31 Per Visit </v>
      </c>
      <c r="AZ119" s="2" t="s">
        <v>196</v>
      </c>
      <c r="BA119" s="1" t="s">
        <v>198</v>
      </c>
      <c r="BB119" s="1" t="s">
        <v>198</v>
      </c>
      <c r="BC119" s="2">
        <v>0</v>
      </c>
      <c r="BD119" s="2">
        <v>0</v>
      </c>
      <c r="BE119" s="2">
        <v>0</v>
      </c>
      <c r="BF119" s="1" t="s">
        <v>199</v>
      </c>
      <c r="BG119" s="2" t="str">
        <f t="shared" si="197"/>
        <v xml:space="preserve">86.72 Per Visit </v>
      </c>
      <c r="BH119" s="2" t="str">
        <f t="shared" si="198"/>
        <v xml:space="preserve">82.38 Per Visit </v>
      </c>
      <c r="BI119" s="1" t="s">
        <v>63</v>
      </c>
      <c r="BJ119" s="1" t="s">
        <v>63</v>
      </c>
      <c r="BK119" s="2" t="str">
        <f t="shared" si="199"/>
        <v xml:space="preserve">82.38 Per Visit </v>
      </c>
      <c r="BL119" s="2" t="str">
        <f t="shared" si="200"/>
        <v xml:space="preserve">86.72 Per Visit </v>
      </c>
      <c r="BM119" s="1" t="s">
        <v>200</v>
      </c>
      <c r="BN119" s="1" t="s">
        <v>198</v>
      </c>
      <c r="BO119" s="2" t="str">
        <f t="shared" si="201"/>
        <v xml:space="preserve">32.73 Per Visit </v>
      </c>
      <c r="BP119" s="2" t="s">
        <v>201</v>
      </c>
      <c r="BQ119" s="22"/>
    </row>
    <row r="120" spans="1:69" ht="20.100000000000001" customHeight="1" x14ac:dyDescent="0.2">
      <c r="A120" s="17">
        <f t="shared" si="128"/>
        <v>118</v>
      </c>
      <c r="B120" s="17">
        <v>97116</v>
      </c>
      <c r="C120" s="17">
        <v>4209711600</v>
      </c>
      <c r="D120" s="19" t="s">
        <v>207</v>
      </c>
      <c r="E120" s="24" t="s">
        <v>186</v>
      </c>
      <c r="F120" s="33">
        <v>99.15</v>
      </c>
      <c r="G120" s="24">
        <v>420</v>
      </c>
      <c r="H120" s="12">
        <v>0</v>
      </c>
      <c r="I120" s="24">
        <v>0</v>
      </c>
      <c r="J120" s="2">
        <f>L120*1.3</f>
        <v>44.088304000000008</v>
      </c>
      <c r="K120" s="21" t="s">
        <v>187</v>
      </c>
      <c r="L120" s="2">
        <v>33.914080000000006</v>
      </c>
      <c r="M120" s="2">
        <v>11.294664000000001</v>
      </c>
      <c r="N120" s="2" t="str">
        <f>CONCATENATE(ROUND(19.04*1.8,2)," ",K120)</f>
        <v>34.27 Per 15 minutes</v>
      </c>
      <c r="O120" s="2" t="str">
        <f t="shared" si="176"/>
        <v>33.91 Per 15 minutes</v>
      </c>
      <c r="P120" s="1" t="s">
        <v>188</v>
      </c>
      <c r="Q120" s="2" t="str">
        <f t="shared" si="177"/>
        <v>33.91 Per 15 minutes</v>
      </c>
      <c r="R120" s="2" t="str">
        <f t="shared" si="178"/>
        <v>37.31 Per 15 minutes</v>
      </c>
      <c r="S120" s="2" t="str">
        <f t="shared" si="179"/>
        <v>33.91 Per 15 minutes</v>
      </c>
      <c r="T120" s="1" t="s">
        <v>413</v>
      </c>
      <c r="U120" s="1"/>
      <c r="V120" s="1" t="s">
        <v>412</v>
      </c>
      <c r="W120" s="2" t="str">
        <f t="shared" si="180"/>
        <v>33.91 Per 15 minutes</v>
      </c>
      <c r="X120" s="2" t="str">
        <f t="shared" si="181"/>
        <v>33.91 Per 15 minutes</v>
      </c>
      <c r="Y120" s="2" t="str">
        <f t="shared" si="182"/>
        <v>33.91 Per 15 minutes</v>
      </c>
      <c r="Z120" s="1" t="s">
        <v>189</v>
      </c>
      <c r="AA120" s="2" t="str">
        <f t="shared" si="183"/>
        <v>32.22 Per 15 minutes</v>
      </c>
      <c r="AB120" s="2" t="str">
        <f t="shared" si="184"/>
        <v>32.22 Per 15 minutes</v>
      </c>
      <c r="AC120" s="2" t="str">
        <f t="shared" si="185"/>
        <v>33.91 Per 15 minutes</v>
      </c>
      <c r="AD120" s="2" t="str">
        <f t="shared" si="186"/>
        <v>35.61 Per 15 minutes</v>
      </c>
      <c r="AE120" s="2" t="str">
        <f t="shared" si="187"/>
        <v>33.91 Per 15 minutes</v>
      </c>
      <c r="AF120" s="2" t="str">
        <f t="shared" si="188"/>
        <v>33.91 Per 15 minutes</v>
      </c>
      <c r="AG120" s="2" t="str">
        <f t="shared" si="189"/>
        <v>31.2 Per 15 minutes</v>
      </c>
      <c r="AH120" s="2">
        <f t="shared" si="190"/>
        <v>69.405000000000001</v>
      </c>
      <c r="AI120" s="1" t="s">
        <v>196</v>
      </c>
      <c r="AJ120" s="1" t="s">
        <v>190</v>
      </c>
      <c r="AK120" s="1" t="s">
        <v>191</v>
      </c>
      <c r="AL120" s="2" t="str">
        <f t="shared" si="191"/>
        <v>33.91 Per 15 minutes</v>
      </c>
      <c r="AM120" s="2" t="str">
        <f t="shared" si="192"/>
        <v>33.91 Per 15 minutes</v>
      </c>
      <c r="AN120" s="1" t="s">
        <v>192</v>
      </c>
      <c r="AO120" s="1" t="s">
        <v>192</v>
      </c>
      <c r="AP120" s="1" t="s">
        <v>193</v>
      </c>
      <c r="AQ120" s="1" t="s">
        <v>194</v>
      </c>
      <c r="AR120" s="1" t="s">
        <v>63</v>
      </c>
      <c r="AS120" s="1" t="s">
        <v>195</v>
      </c>
      <c r="AT120" s="1" t="s">
        <v>195</v>
      </c>
      <c r="AU120" s="1">
        <v>158.3634375</v>
      </c>
      <c r="AV120" s="2" t="str">
        <f t="shared" si="193"/>
        <v>12.42 Per 15 minutes</v>
      </c>
      <c r="AW120" s="2" t="str">
        <f t="shared" si="194"/>
        <v>33.91 Per 15 minutes</v>
      </c>
      <c r="AX120" s="2" t="str">
        <f t="shared" si="195"/>
        <v>32.22 Per 15 minutes</v>
      </c>
      <c r="AY120" s="2" t="str">
        <f t="shared" si="196"/>
        <v>29.84 Per 15 minutes</v>
      </c>
      <c r="AZ120" s="2" t="s">
        <v>196</v>
      </c>
      <c r="BA120" s="1" t="s">
        <v>198</v>
      </c>
      <c r="BB120" s="1" t="s">
        <v>198</v>
      </c>
      <c r="BC120" s="2">
        <v>0</v>
      </c>
      <c r="BD120" s="2">
        <v>0</v>
      </c>
      <c r="BE120" s="2">
        <v>0</v>
      </c>
      <c r="BF120" s="1" t="s">
        <v>199</v>
      </c>
      <c r="BG120" s="2" t="str">
        <f t="shared" si="197"/>
        <v>33.91 Per 15 minutes</v>
      </c>
      <c r="BH120" s="2" t="str">
        <f t="shared" si="198"/>
        <v>32.22 Per 15 minutes</v>
      </c>
      <c r="BI120" s="1" t="s">
        <v>63</v>
      </c>
      <c r="BJ120" s="1" t="s">
        <v>63</v>
      </c>
      <c r="BK120" s="2" t="str">
        <f t="shared" si="199"/>
        <v>32.22 Per 15 minutes</v>
      </c>
      <c r="BL120" s="2" t="str">
        <f t="shared" si="200"/>
        <v>33.91 Per 15 minutes</v>
      </c>
      <c r="BM120" s="1" t="s">
        <v>200</v>
      </c>
      <c r="BN120" s="1" t="s">
        <v>198</v>
      </c>
      <c r="BO120" s="2" t="str">
        <f t="shared" si="201"/>
        <v>12.42 Per 15 minutes</v>
      </c>
      <c r="BP120" s="2" t="s">
        <v>201</v>
      </c>
      <c r="BQ120" s="22"/>
    </row>
    <row r="121" spans="1:69" ht="20.100000000000001" customHeight="1" x14ac:dyDescent="0.2">
      <c r="A121" s="17">
        <f t="shared" si="128"/>
        <v>119</v>
      </c>
      <c r="B121" s="17">
        <v>97535</v>
      </c>
      <c r="C121" s="17">
        <v>4209753500</v>
      </c>
      <c r="D121" s="19" t="s">
        <v>208</v>
      </c>
      <c r="E121" s="24" t="s">
        <v>186</v>
      </c>
      <c r="F121" s="33">
        <v>111.18</v>
      </c>
      <c r="G121" s="24">
        <v>420</v>
      </c>
      <c r="H121" s="12">
        <v>0</v>
      </c>
      <c r="I121" s="24">
        <v>0</v>
      </c>
      <c r="J121" s="2">
        <f>L121*1.3</f>
        <v>49.503583999999996</v>
      </c>
      <c r="K121" s="21" t="s">
        <v>187</v>
      </c>
      <c r="L121" s="2">
        <v>38.079679999999996</v>
      </c>
      <c r="M121" s="2">
        <v>5.3169029999999999</v>
      </c>
      <c r="N121" s="2" t="str">
        <f>CONCATENATE(ROUND(23.69*1.8,2)," ",K121)</f>
        <v>42.64 Per 15 minutes</v>
      </c>
      <c r="O121" s="2" t="str">
        <f t="shared" si="176"/>
        <v>38.08 Per 15 minutes</v>
      </c>
      <c r="P121" s="1" t="s">
        <v>188</v>
      </c>
      <c r="Q121" s="2" t="str">
        <f t="shared" si="177"/>
        <v>38.08 Per 15 minutes</v>
      </c>
      <c r="R121" s="2" t="str">
        <f t="shared" si="178"/>
        <v>41.89 Per 15 minutes</v>
      </c>
      <c r="S121" s="2" t="str">
        <f t="shared" si="179"/>
        <v>38.08 Per 15 minutes</v>
      </c>
      <c r="T121" s="1" t="s">
        <v>413</v>
      </c>
      <c r="U121" s="1"/>
      <c r="V121" s="1" t="s">
        <v>412</v>
      </c>
      <c r="W121" s="2" t="str">
        <f t="shared" si="180"/>
        <v>38.08 Per 15 minutes</v>
      </c>
      <c r="X121" s="2" t="str">
        <f t="shared" si="181"/>
        <v>38.08 Per 15 minutes</v>
      </c>
      <c r="Y121" s="2" t="str">
        <f t="shared" si="182"/>
        <v>38.08 Per 15 minutes</v>
      </c>
      <c r="Z121" s="1" t="s">
        <v>189</v>
      </c>
      <c r="AA121" s="2" t="str">
        <f t="shared" si="183"/>
        <v>36.18 Per 15 minutes</v>
      </c>
      <c r="AB121" s="2" t="str">
        <f t="shared" si="184"/>
        <v>36.18 Per 15 minutes</v>
      </c>
      <c r="AC121" s="2" t="str">
        <f t="shared" si="185"/>
        <v>38.08 Per 15 minutes</v>
      </c>
      <c r="AD121" s="2" t="str">
        <f t="shared" si="186"/>
        <v>39.98 Per 15 minutes</v>
      </c>
      <c r="AE121" s="2" t="str">
        <f t="shared" si="187"/>
        <v>38.08 Per 15 minutes</v>
      </c>
      <c r="AF121" s="2" t="str">
        <f t="shared" si="188"/>
        <v>38.08 Per 15 minutes</v>
      </c>
      <c r="AG121" s="2" t="str">
        <f t="shared" si="189"/>
        <v>35.03 Per 15 minutes</v>
      </c>
      <c r="AH121" s="2">
        <f t="shared" si="190"/>
        <v>77.825999999999993</v>
      </c>
      <c r="AI121" s="1" t="s">
        <v>196</v>
      </c>
      <c r="AJ121" s="1" t="s">
        <v>190</v>
      </c>
      <c r="AK121" s="1" t="s">
        <v>191</v>
      </c>
      <c r="AL121" s="2" t="str">
        <f t="shared" si="191"/>
        <v>38.08 Per 15 minutes</v>
      </c>
      <c r="AM121" s="2" t="str">
        <f t="shared" si="192"/>
        <v>38.08 Per 15 minutes</v>
      </c>
      <c r="AN121" s="1" t="s">
        <v>192</v>
      </c>
      <c r="AO121" s="1" t="s">
        <v>192</v>
      </c>
      <c r="AP121" s="1" t="s">
        <v>193</v>
      </c>
      <c r="AQ121" s="1" t="s">
        <v>194</v>
      </c>
      <c r="AR121" s="1" t="s">
        <v>63</v>
      </c>
      <c r="AS121" s="1" t="s">
        <v>195</v>
      </c>
      <c r="AT121" s="1" t="s">
        <v>195</v>
      </c>
      <c r="AU121" s="1">
        <v>158.3634375</v>
      </c>
      <c r="AV121" s="2" t="str">
        <f t="shared" si="193"/>
        <v>5.85 Per 15 minutes</v>
      </c>
      <c r="AW121" s="2" t="str">
        <f t="shared" si="194"/>
        <v>38.08 Per 15 minutes</v>
      </c>
      <c r="AX121" s="2" t="str">
        <f t="shared" si="195"/>
        <v>36.18 Per 15 minutes</v>
      </c>
      <c r="AY121" s="2" t="str">
        <f t="shared" si="196"/>
        <v>33.51 Per 15 minutes</v>
      </c>
      <c r="AZ121" s="2" t="s">
        <v>196</v>
      </c>
      <c r="BA121" s="1" t="s">
        <v>198</v>
      </c>
      <c r="BB121" s="1" t="s">
        <v>198</v>
      </c>
      <c r="BC121" s="2">
        <v>0</v>
      </c>
      <c r="BD121" s="2">
        <v>0</v>
      </c>
      <c r="BE121" s="2">
        <v>0</v>
      </c>
      <c r="BF121" s="1" t="s">
        <v>199</v>
      </c>
      <c r="BG121" s="2" t="str">
        <f t="shared" si="197"/>
        <v>38.08 Per 15 minutes</v>
      </c>
      <c r="BH121" s="2" t="str">
        <f t="shared" si="198"/>
        <v>36.18 Per 15 minutes</v>
      </c>
      <c r="BI121" s="1" t="s">
        <v>63</v>
      </c>
      <c r="BJ121" s="1" t="s">
        <v>63</v>
      </c>
      <c r="BK121" s="2" t="str">
        <f t="shared" si="199"/>
        <v>36.18 Per 15 minutes</v>
      </c>
      <c r="BL121" s="2" t="str">
        <f t="shared" si="200"/>
        <v>38.08 Per 15 minutes</v>
      </c>
      <c r="BM121" s="1" t="s">
        <v>200</v>
      </c>
      <c r="BN121" s="1" t="s">
        <v>198</v>
      </c>
      <c r="BO121" s="2" t="str">
        <f t="shared" si="201"/>
        <v>5.85 Per 15 minutes</v>
      </c>
      <c r="BP121" s="2" t="s">
        <v>201</v>
      </c>
      <c r="BQ121" s="22"/>
    </row>
    <row r="122" spans="1:69" ht="20.100000000000001" customHeight="1" x14ac:dyDescent="0.2">
      <c r="A122" s="17">
        <f t="shared" si="128"/>
        <v>120</v>
      </c>
      <c r="B122" s="17">
        <v>97161</v>
      </c>
      <c r="C122" s="24">
        <v>4249716100</v>
      </c>
      <c r="D122" s="19" t="s">
        <v>209</v>
      </c>
      <c r="E122" s="24" t="s">
        <v>186</v>
      </c>
      <c r="F122" s="33">
        <v>337.62</v>
      </c>
      <c r="G122" s="24">
        <v>424</v>
      </c>
      <c r="H122" s="12">
        <v>0</v>
      </c>
      <c r="I122" s="24">
        <v>0</v>
      </c>
      <c r="J122" s="2">
        <v>150</v>
      </c>
      <c r="K122" s="21" t="s">
        <v>91</v>
      </c>
      <c r="L122" s="2">
        <v>113.95456</v>
      </c>
      <c r="M122" s="1">
        <v>0</v>
      </c>
      <c r="N122" s="2" t="str">
        <f>CONCATENATE(ROUND(58.45*1.8,2)," ",K122)</f>
        <v xml:space="preserve">105.21 Per Visit </v>
      </c>
      <c r="O122" s="2" t="str">
        <f t="shared" si="176"/>
        <v xml:space="preserve">113.95 Per Visit </v>
      </c>
      <c r="P122" s="1" t="s">
        <v>188</v>
      </c>
      <c r="Q122" s="2" t="str">
        <f t="shared" si="177"/>
        <v xml:space="preserve">113.95 Per Visit </v>
      </c>
      <c r="R122" s="2" t="str">
        <f t="shared" si="178"/>
        <v xml:space="preserve">125.35 Per Visit </v>
      </c>
      <c r="S122" s="2" t="str">
        <f t="shared" si="179"/>
        <v xml:space="preserve">113.95 Per Visit </v>
      </c>
      <c r="T122" s="1" t="s">
        <v>413</v>
      </c>
      <c r="U122" s="1"/>
      <c r="V122" s="1" t="s">
        <v>412</v>
      </c>
      <c r="W122" s="2" t="str">
        <f t="shared" si="180"/>
        <v xml:space="preserve">113.95 Per Visit </v>
      </c>
      <c r="X122" s="2" t="str">
        <f t="shared" si="181"/>
        <v xml:space="preserve">113.95 Per Visit </v>
      </c>
      <c r="Y122" s="2" t="str">
        <f t="shared" si="182"/>
        <v xml:space="preserve">113.95 Per Visit </v>
      </c>
      <c r="Z122" s="1" t="s">
        <v>189</v>
      </c>
      <c r="AA122" s="2" t="str">
        <f t="shared" si="183"/>
        <v xml:space="preserve">108.26 Per Visit </v>
      </c>
      <c r="AB122" s="2" t="str">
        <f t="shared" si="184"/>
        <v xml:space="preserve">108.26 Per Visit </v>
      </c>
      <c r="AC122" s="2" t="str">
        <f t="shared" si="185"/>
        <v xml:space="preserve">113.95 Per Visit </v>
      </c>
      <c r="AD122" s="2" t="str">
        <f t="shared" si="186"/>
        <v xml:space="preserve">119.65 Per Visit </v>
      </c>
      <c r="AE122" s="2" t="str">
        <f t="shared" si="187"/>
        <v xml:space="preserve">113.95 Per Visit </v>
      </c>
      <c r="AF122" s="2" t="str">
        <f t="shared" si="188"/>
        <v xml:space="preserve">113.95 Per Visit </v>
      </c>
      <c r="AG122" s="2" t="str">
        <f t="shared" si="189"/>
        <v xml:space="preserve">104.84 Per Visit </v>
      </c>
      <c r="AH122" s="2">
        <f t="shared" si="190"/>
        <v>236.33399999999997</v>
      </c>
      <c r="AI122" s="1" t="s">
        <v>196</v>
      </c>
      <c r="AJ122" s="1" t="s">
        <v>190</v>
      </c>
      <c r="AK122" s="1" t="s">
        <v>191</v>
      </c>
      <c r="AL122" s="2" t="str">
        <f t="shared" si="191"/>
        <v xml:space="preserve">113.95 Per Visit </v>
      </c>
      <c r="AM122" s="2" t="str">
        <f t="shared" si="192"/>
        <v xml:space="preserve">113.95 Per Visit </v>
      </c>
      <c r="AN122" s="1" t="s">
        <v>192</v>
      </c>
      <c r="AO122" s="1" t="s">
        <v>192</v>
      </c>
      <c r="AP122" s="1" t="s">
        <v>193</v>
      </c>
      <c r="AQ122" s="1" t="s">
        <v>194</v>
      </c>
      <c r="AR122" s="1" t="s">
        <v>63</v>
      </c>
      <c r="AS122" s="1" t="s">
        <v>195</v>
      </c>
      <c r="AT122" s="1" t="s">
        <v>195</v>
      </c>
      <c r="AU122" s="1">
        <v>158.3634375</v>
      </c>
      <c r="AV122" s="2">
        <f>M122</f>
        <v>0</v>
      </c>
      <c r="AW122" s="2" t="str">
        <f t="shared" si="194"/>
        <v xml:space="preserve">113.95 Per Visit </v>
      </c>
      <c r="AX122" s="2" t="str">
        <f t="shared" si="195"/>
        <v xml:space="preserve">108.26 Per Visit </v>
      </c>
      <c r="AY122" s="2" t="str">
        <f t="shared" si="196"/>
        <v xml:space="preserve">100.28 Per Visit </v>
      </c>
      <c r="AZ122" s="2" t="s">
        <v>196</v>
      </c>
      <c r="BA122" s="1" t="s">
        <v>198</v>
      </c>
      <c r="BB122" s="1" t="s">
        <v>198</v>
      </c>
      <c r="BC122" s="2">
        <v>0</v>
      </c>
      <c r="BD122" s="2">
        <v>0</v>
      </c>
      <c r="BE122" s="2">
        <v>0</v>
      </c>
      <c r="BF122" s="1" t="s">
        <v>199</v>
      </c>
      <c r="BG122" s="2" t="str">
        <f t="shared" si="197"/>
        <v xml:space="preserve">113.95 Per Visit </v>
      </c>
      <c r="BH122" s="2" t="str">
        <f t="shared" si="198"/>
        <v xml:space="preserve">108.26 Per Visit </v>
      </c>
      <c r="BI122" s="1" t="s">
        <v>63</v>
      </c>
      <c r="BJ122" s="1" t="s">
        <v>63</v>
      </c>
      <c r="BK122" s="2" t="str">
        <f t="shared" si="199"/>
        <v xml:space="preserve">108.26 Per Visit </v>
      </c>
      <c r="BL122" s="2" t="str">
        <f t="shared" si="200"/>
        <v xml:space="preserve">113.95 Per Visit </v>
      </c>
      <c r="BM122" s="1" t="s">
        <v>200</v>
      </c>
      <c r="BN122" s="1" t="s">
        <v>198</v>
      </c>
      <c r="BO122" s="2" t="str">
        <f>AY122</f>
        <v xml:space="preserve">100.28 Per Visit </v>
      </c>
      <c r="BP122" s="2" t="s">
        <v>201</v>
      </c>
      <c r="BQ122" s="22"/>
    </row>
    <row r="123" spans="1:69" ht="20.100000000000001" customHeight="1" x14ac:dyDescent="0.2">
      <c r="A123" s="17">
        <f t="shared" si="128"/>
        <v>121</v>
      </c>
      <c r="B123" s="17">
        <v>97162</v>
      </c>
      <c r="C123" s="24">
        <v>4249716200</v>
      </c>
      <c r="D123" s="19" t="s">
        <v>210</v>
      </c>
      <c r="E123" s="24" t="s">
        <v>186</v>
      </c>
      <c r="F123" s="33">
        <v>337.62</v>
      </c>
      <c r="G123" s="24">
        <v>424</v>
      </c>
      <c r="H123" s="12">
        <v>0</v>
      </c>
      <c r="I123" s="24">
        <v>0</v>
      </c>
      <c r="J123" s="2">
        <v>150</v>
      </c>
      <c r="K123" s="21" t="s">
        <v>91</v>
      </c>
      <c r="L123" s="2">
        <v>113.95456</v>
      </c>
      <c r="M123" s="1">
        <v>0</v>
      </c>
      <c r="N123" s="2" t="str">
        <f>CONCATENATE(ROUND(58.45*1.8,2)," ",K123)</f>
        <v xml:space="preserve">105.21 Per Visit </v>
      </c>
      <c r="O123" s="2" t="str">
        <f t="shared" si="176"/>
        <v xml:space="preserve">113.95 Per Visit </v>
      </c>
      <c r="P123" s="1" t="s">
        <v>188</v>
      </c>
      <c r="Q123" s="2" t="str">
        <f t="shared" si="177"/>
        <v xml:space="preserve">113.95 Per Visit </v>
      </c>
      <c r="R123" s="2" t="str">
        <f t="shared" si="178"/>
        <v xml:space="preserve">125.35 Per Visit </v>
      </c>
      <c r="S123" s="2" t="str">
        <f t="shared" si="179"/>
        <v xml:space="preserve">113.95 Per Visit </v>
      </c>
      <c r="T123" s="1" t="s">
        <v>413</v>
      </c>
      <c r="U123" s="1"/>
      <c r="V123" s="1" t="s">
        <v>412</v>
      </c>
      <c r="W123" s="2" t="str">
        <f t="shared" si="180"/>
        <v xml:space="preserve">113.95 Per Visit </v>
      </c>
      <c r="X123" s="2" t="str">
        <f t="shared" si="181"/>
        <v xml:space="preserve">113.95 Per Visit </v>
      </c>
      <c r="Y123" s="2" t="str">
        <f t="shared" si="182"/>
        <v xml:space="preserve">113.95 Per Visit </v>
      </c>
      <c r="Z123" s="1" t="s">
        <v>189</v>
      </c>
      <c r="AA123" s="2" t="str">
        <f t="shared" si="183"/>
        <v xml:space="preserve">108.26 Per Visit </v>
      </c>
      <c r="AB123" s="2" t="str">
        <f t="shared" si="184"/>
        <v xml:space="preserve">108.26 Per Visit </v>
      </c>
      <c r="AC123" s="2" t="str">
        <f t="shared" si="185"/>
        <v xml:space="preserve">113.95 Per Visit </v>
      </c>
      <c r="AD123" s="2" t="str">
        <f t="shared" si="186"/>
        <v xml:space="preserve">119.65 Per Visit </v>
      </c>
      <c r="AE123" s="2" t="str">
        <f t="shared" si="187"/>
        <v xml:space="preserve">113.95 Per Visit </v>
      </c>
      <c r="AF123" s="2" t="str">
        <f t="shared" si="188"/>
        <v xml:space="preserve">113.95 Per Visit </v>
      </c>
      <c r="AG123" s="2" t="str">
        <f t="shared" si="189"/>
        <v xml:space="preserve">104.84 Per Visit </v>
      </c>
      <c r="AH123" s="2">
        <f t="shared" si="190"/>
        <v>236.33399999999997</v>
      </c>
      <c r="AI123" s="1" t="s">
        <v>196</v>
      </c>
      <c r="AJ123" s="1" t="s">
        <v>190</v>
      </c>
      <c r="AK123" s="1" t="s">
        <v>191</v>
      </c>
      <c r="AL123" s="2" t="str">
        <f t="shared" si="191"/>
        <v xml:space="preserve">113.95 Per Visit </v>
      </c>
      <c r="AM123" s="2" t="str">
        <f t="shared" si="192"/>
        <v xml:space="preserve">113.95 Per Visit </v>
      </c>
      <c r="AN123" s="1" t="s">
        <v>192</v>
      </c>
      <c r="AO123" s="1" t="s">
        <v>192</v>
      </c>
      <c r="AP123" s="1" t="s">
        <v>193</v>
      </c>
      <c r="AQ123" s="1" t="s">
        <v>194</v>
      </c>
      <c r="AR123" s="1" t="s">
        <v>63</v>
      </c>
      <c r="AS123" s="1" t="s">
        <v>195</v>
      </c>
      <c r="AT123" s="1" t="s">
        <v>195</v>
      </c>
      <c r="AU123" s="1">
        <v>158.3634375</v>
      </c>
      <c r="AV123" s="2">
        <f>M123</f>
        <v>0</v>
      </c>
      <c r="AW123" s="2" t="str">
        <f t="shared" si="194"/>
        <v xml:space="preserve">113.95 Per Visit </v>
      </c>
      <c r="AX123" s="2" t="str">
        <f t="shared" si="195"/>
        <v xml:space="preserve">108.26 Per Visit </v>
      </c>
      <c r="AY123" s="2" t="str">
        <f t="shared" si="196"/>
        <v xml:space="preserve">100.28 Per Visit </v>
      </c>
      <c r="AZ123" s="2" t="s">
        <v>196</v>
      </c>
      <c r="BA123" s="1" t="s">
        <v>198</v>
      </c>
      <c r="BB123" s="1" t="s">
        <v>198</v>
      </c>
      <c r="BC123" s="2">
        <v>0</v>
      </c>
      <c r="BD123" s="2">
        <v>0</v>
      </c>
      <c r="BE123" s="2">
        <v>0</v>
      </c>
      <c r="BF123" s="1" t="s">
        <v>199</v>
      </c>
      <c r="BG123" s="2" t="str">
        <f t="shared" si="197"/>
        <v xml:space="preserve">113.95 Per Visit </v>
      </c>
      <c r="BH123" s="2" t="str">
        <f t="shared" si="198"/>
        <v xml:space="preserve">108.26 Per Visit </v>
      </c>
      <c r="BI123" s="1" t="s">
        <v>63</v>
      </c>
      <c r="BJ123" s="1" t="s">
        <v>63</v>
      </c>
      <c r="BK123" s="2" t="str">
        <f t="shared" si="199"/>
        <v xml:space="preserve">108.26 Per Visit </v>
      </c>
      <c r="BL123" s="2" t="str">
        <f t="shared" si="200"/>
        <v xml:space="preserve">113.95 Per Visit </v>
      </c>
      <c r="BM123" s="1" t="s">
        <v>200</v>
      </c>
      <c r="BN123" s="1" t="s">
        <v>198</v>
      </c>
      <c r="BO123" s="2" t="str">
        <f>AY123</f>
        <v xml:space="preserve">100.28 Per Visit </v>
      </c>
      <c r="BP123" s="2" t="s">
        <v>201</v>
      </c>
      <c r="BQ123" s="22"/>
    </row>
    <row r="124" spans="1:69" ht="20.100000000000001" customHeight="1" x14ac:dyDescent="0.2">
      <c r="A124" s="17">
        <f t="shared" si="128"/>
        <v>122</v>
      </c>
      <c r="B124" s="17">
        <v>97163</v>
      </c>
      <c r="C124" s="24">
        <v>4249716300</v>
      </c>
      <c r="D124" s="19" t="s">
        <v>211</v>
      </c>
      <c r="E124" s="24" t="s">
        <v>186</v>
      </c>
      <c r="F124" s="33">
        <v>337.62</v>
      </c>
      <c r="G124" s="24">
        <v>424</v>
      </c>
      <c r="H124" s="12">
        <v>0</v>
      </c>
      <c r="I124" s="24">
        <v>0</v>
      </c>
      <c r="J124" s="2">
        <v>150</v>
      </c>
      <c r="K124" s="21" t="s">
        <v>91</v>
      </c>
      <c r="L124" s="2">
        <v>113.95456</v>
      </c>
      <c r="M124" s="1">
        <v>0</v>
      </c>
      <c r="N124" s="2" t="str">
        <f>CONCATENATE(ROUND(58.45*1.8,2)," ",K124)</f>
        <v xml:space="preserve">105.21 Per Visit </v>
      </c>
      <c r="O124" s="2" t="str">
        <f t="shared" si="176"/>
        <v xml:space="preserve">113.95 Per Visit </v>
      </c>
      <c r="P124" s="1" t="s">
        <v>188</v>
      </c>
      <c r="Q124" s="2" t="str">
        <f t="shared" si="177"/>
        <v xml:space="preserve">113.95 Per Visit </v>
      </c>
      <c r="R124" s="2" t="str">
        <f t="shared" si="178"/>
        <v xml:space="preserve">125.35 Per Visit </v>
      </c>
      <c r="S124" s="2" t="str">
        <f t="shared" si="179"/>
        <v xml:space="preserve">113.95 Per Visit </v>
      </c>
      <c r="T124" s="1" t="s">
        <v>413</v>
      </c>
      <c r="U124" s="1"/>
      <c r="V124" s="1" t="s">
        <v>412</v>
      </c>
      <c r="W124" s="2" t="str">
        <f t="shared" si="180"/>
        <v xml:space="preserve">113.95 Per Visit </v>
      </c>
      <c r="X124" s="2" t="str">
        <f t="shared" si="181"/>
        <v xml:space="preserve">113.95 Per Visit </v>
      </c>
      <c r="Y124" s="2" t="str">
        <f t="shared" si="182"/>
        <v xml:space="preserve">113.95 Per Visit </v>
      </c>
      <c r="Z124" s="1" t="s">
        <v>189</v>
      </c>
      <c r="AA124" s="2" t="str">
        <f t="shared" si="183"/>
        <v xml:space="preserve">108.26 Per Visit </v>
      </c>
      <c r="AB124" s="2" t="str">
        <f t="shared" si="184"/>
        <v xml:space="preserve">108.26 Per Visit </v>
      </c>
      <c r="AC124" s="2" t="str">
        <f t="shared" si="185"/>
        <v xml:space="preserve">113.95 Per Visit </v>
      </c>
      <c r="AD124" s="2" t="str">
        <f t="shared" si="186"/>
        <v xml:space="preserve">119.65 Per Visit </v>
      </c>
      <c r="AE124" s="2" t="str">
        <f t="shared" si="187"/>
        <v xml:space="preserve">113.95 Per Visit </v>
      </c>
      <c r="AF124" s="2" t="str">
        <f t="shared" si="188"/>
        <v xml:space="preserve">113.95 Per Visit </v>
      </c>
      <c r="AG124" s="2" t="str">
        <f t="shared" si="189"/>
        <v xml:space="preserve">104.84 Per Visit </v>
      </c>
      <c r="AH124" s="2">
        <f t="shared" si="190"/>
        <v>236.33399999999997</v>
      </c>
      <c r="AI124" s="1" t="s">
        <v>196</v>
      </c>
      <c r="AJ124" s="1" t="s">
        <v>190</v>
      </c>
      <c r="AK124" s="1" t="s">
        <v>191</v>
      </c>
      <c r="AL124" s="2" t="str">
        <f t="shared" si="191"/>
        <v xml:space="preserve">113.95 Per Visit </v>
      </c>
      <c r="AM124" s="2" t="str">
        <f t="shared" si="192"/>
        <v xml:space="preserve">113.95 Per Visit </v>
      </c>
      <c r="AN124" s="1" t="s">
        <v>192</v>
      </c>
      <c r="AO124" s="1" t="s">
        <v>192</v>
      </c>
      <c r="AP124" s="1" t="s">
        <v>193</v>
      </c>
      <c r="AQ124" s="1" t="s">
        <v>194</v>
      </c>
      <c r="AR124" s="1" t="s">
        <v>63</v>
      </c>
      <c r="AS124" s="1" t="s">
        <v>195</v>
      </c>
      <c r="AT124" s="1" t="s">
        <v>195</v>
      </c>
      <c r="AU124" s="1">
        <v>158.3634375</v>
      </c>
      <c r="AV124" s="2">
        <f>M124</f>
        <v>0</v>
      </c>
      <c r="AW124" s="2" t="str">
        <f t="shared" si="194"/>
        <v xml:space="preserve">113.95 Per Visit </v>
      </c>
      <c r="AX124" s="2" t="str">
        <f t="shared" si="195"/>
        <v xml:space="preserve">108.26 Per Visit </v>
      </c>
      <c r="AY124" s="2" t="str">
        <f t="shared" si="196"/>
        <v xml:space="preserve">100.28 Per Visit </v>
      </c>
      <c r="AZ124" s="2" t="s">
        <v>196</v>
      </c>
      <c r="BA124" s="1" t="s">
        <v>198</v>
      </c>
      <c r="BB124" s="1" t="s">
        <v>198</v>
      </c>
      <c r="BC124" s="2">
        <v>0</v>
      </c>
      <c r="BD124" s="2">
        <v>0</v>
      </c>
      <c r="BE124" s="2">
        <v>0</v>
      </c>
      <c r="BF124" s="1" t="s">
        <v>199</v>
      </c>
      <c r="BG124" s="2" t="str">
        <f t="shared" si="197"/>
        <v xml:space="preserve">113.95 Per Visit </v>
      </c>
      <c r="BH124" s="2" t="str">
        <f t="shared" si="198"/>
        <v xml:space="preserve">108.26 Per Visit </v>
      </c>
      <c r="BI124" s="1" t="s">
        <v>63</v>
      </c>
      <c r="BJ124" s="1" t="s">
        <v>63</v>
      </c>
      <c r="BK124" s="2" t="str">
        <f t="shared" si="199"/>
        <v xml:space="preserve">108.26 Per Visit </v>
      </c>
      <c r="BL124" s="2" t="str">
        <f t="shared" si="200"/>
        <v xml:space="preserve">113.95 Per Visit </v>
      </c>
      <c r="BM124" s="1" t="s">
        <v>200</v>
      </c>
      <c r="BN124" s="1" t="s">
        <v>198</v>
      </c>
      <c r="BO124" s="2" t="str">
        <f>AY124</f>
        <v xml:space="preserve">100.28 Per Visit </v>
      </c>
      <c r="BP124" s="2" t="s">
        <v>201</v>
      </c>
      <c r="BQ124" s="22"/>
    </row>
    <row r="125" spans="1:69" ht="20.100000000000001" customHeight="1" x14ac:dyDescent="0.2">
      <c r="A125" s="17">
        <f t="shared" si="128"/>
        <v>123</v>
      </c>
      <c r="B125" s="17">
        <v>97164</v>
      </c>
      <c r="C125" s="24">
        <v>4249716400</v>
      </c>
      <c r="D125" s="19" t="s">
        <v>212</v>
      </c>
      <c r="E125" s="24" t="s">
        <v>186</v>
      </c>
      <c r="F125" s="33">
        <v>235.05</v>
      </c>
      <c r="G125" s="24">
        <v>424</v>
      </c>
      <c r="H125" s="12">
        <v>0</v>
      </c>
      <c r="I125" s="24">
        <v>0</v>
      </c>
      <c r="J125" s="2">
        <f>L125*1.3</f>
        <v>101.91292800000001</v>
      </c>
      <c r="K125" s="21" t="s">
        <v>91</v>
      </c>
      <c r="L125" s="1">
        <v>78.394559999999998</v>
      </c>
      <c r="M125" s="1">
        <v>0</v>
      </c>
      <c r="N125" s="2" t="str">
        <f>CONCATENATE(ROUND(39.53*1.8,2)," ",K125)</f>
        <v xml:space="preserve">71.15 Per Visit </v>
      </c>
      <c r="O125" s="2" t="str">
        <f t="shared" si="176"/>
        <v xml:space="preserve">78.39 Per Visit </v>
      </c>
      <c r="P125" s="1" t="s">
        <v>188</v>
      </c>
      <c r="Q125" s="2" t="str">
        <f t="shared" si="177"/>
        <v xml:space="preserve">78.39 Per Visit </v>
      </c>
      <c r="R125" s="2" t="str">
        <f t="shared" si="178"/>
        <v xml:space="preserve">86.23 Per Visit </v>
      </c>
      <c r="S125" s="2" t="str">
        <f t="shared" si="179"/>
        <v xml:space="preserve">78.39 Per Visit </v>
      </c>
      <c r="T125" s="1" t="s">
        <v>413</v>
      </c>
      <c r="U125" s="1"/>
      <c r="V125" s="1" t="s">
        <v>412</v>
      </c>
      <c r="W125" s="2" t="str">
        <f t="shared" si="180"/>
        <v xml:space="preserve">78.39 Per Visit </v>
      </c>
      <c r="X125" s="2" t="str">
        <f t="shared" si="181"/>
        <v xml:space="preserve">78.39 Per Visit </v>
      </c>
      <c r="Y125" s="2" t="str">
        <f t="shared" si="182"/>
        <v xml:space="preserve">78.39 Per Visit </v>
      </c>
      <c r="Z125" s="1" t="s">
        <v>189</v>
      </c>
      <c r="AA125" s="2" t="str">
        <f t="shared" si="183"/>
        <v xml:space="preserve">74.47 Per Visit </v>
      </c>
      <c r="AB125" s="2" t="str">
        <f t="shared" si="184"/>
        <v xml:space="preserve">74.47 Per Visit </v>
      </c>
      <c r="AC125" s="2" t="str">
        <f t="shared" si="185"/>
        <v xml:space="preserve">78.39 Per Visit </v>
      </c>
      <c r="AD125" s="2" t="str">
        <f t="shared" si="186"/>
        <v xml:space="preserve">82.31 Per Visit </v>
      </c>
      <c r="AE125" s="2" t="str">
        <f t="shared" si="187"/>
        <v xml:space="preserve">78.39 Per Visit </v>
      </c>
      <c r="AF125" s="2" t="str">
        <f t="shared" si="188"/>
        <v xml:space="preserve">78.39 Per Visit </v>
      </c>
      <c r="AG125" s="2" t="str">
        <f t="shared" si="189"/>
        <v xml:space="preserve">72.12 Per Visit </v>
      </c>
      <c r="AH125" s="2">
        <f t="shared" si="190"/>
        <v>164.535</v>
      </c>
      <c r="AI125" s="1" t="s">
        <v>196</v>
      </c>
      <c r="AJ125" s="1" t="s">
        <v>190</v>
      </c>
      <c r="AK125" s="1" t="s">
        <v>191</v>
      </c>
      <c r="AL125" s="2" t="str">
        <f t="shared" si="191"/>
        <v xml:space="preserve">78.39 Per Visit </v>
      </c>
      <c r="AM125" s="2" t="str">
        <f t="shared" si="192"/>
        <v xml:space="preserve">78.39 Per Visit </v>
      </c>
      <c r="AN125" s="1" t="s">
        <v>192</v>
      </c>
      <c r="AO125" s="1" t="s">
        <v>192</v>
      </c>
      <c r="AP125" s="1" t="s">
        <v>193</v>
      </c>
      <c r="AQ125" s="1" t="s">
        <v>194</v>
      </c>
      <c r="AR125" s="1" t="s">
        <v>63</v>
      </c>
      <c r="AS125" s="1" t="s">
        <v>195</v>
      </c>
      <c r="AT125" s="1" t="s">
        <v>195</v>
      </c>
      <c r="AU125" s="1">
        <v>158.3634375</v>
      </c>
      <c r="AV125" s="2">
        <f>M125</f>
        <v>0</v>
      </c>
      <c r="AW125" s="2" t="str">
        <f t="shared" si="194"/>
        <v xml:space="preserve">78.39 Per Visit </v>
      </c>
      <c r="AX125" s="2" t="str">
        <f t="shared" si="195"/>
        <v xml:space="preserve">74.47 Per Visit </v>
      </c>
      <c r="AY125" s="2" t="str">
        <f t="shared" si="196"/>
        <v xml:space="preserve">68.99 Per Visit </v>
      </c>
      <c r="AZ125" s="2" t="s">
        <v>196</v>
      </c>
      <c r="BA125" s="1" t="s">
        <v>198</v>
      </c>
      <c r="BB125" s="1" t="s">
        <v>198</v>
      </c>
      <c r="BC125" s="2">
        <v>0</v>
      </c>
      <c r="BD125" s="2">
        <v>0</v>
      </c>
      <c r="BE125" s="2">
        <v>0</v>
      </c>
      <c r="BF125" s="1" t="s">
        <v>199</v>
      </c>
      <c r="BG125" s="2" t="str">
        <f t="shared" si="197"/>
        <v xml:space="preserve">78.39 Per Visit </v>
      </c>
      <c r="BH125" s="2" t="str">
        <f t="shared" si="198"/>
        <v xml:space="preserve">74.47 Per Visit </v>
      </c>
      <c r="BI125" s="1" t="s">
        <v>63</v>
      </c>
      <c r="BJ125" s="1" t="s">
        <v>63</v>
      </c>
      <c r="BK125" s="2" t="str">
        <f t="shared" si="199"/>
        <v xml:space="preserve">74.47 Per Visit </v>
      </c>
      <c r="BL125" s="2" t="str">
        <f t="shared" si="200"/>
        <v xml:space="preserve">78.39 Per Visit </v>
      </c>
      <c r="BM125" s="1" t="s">
        <v>200</v>
      </c>
      <c r="BN125" s="1" t="s">
        <v>198</v>
      </c>
      <c r="BO125" s="2" t="str">
        <f>AY125</f>
        <v xml:space="preserve">68.99 Per Visit </v>
      </c>
      <c r="BP125" s="2" t="s">
        <v>201</v>
      </c>
      <c r="BQ125" s="22"/>
    </row>
    <row r="126" spans="1:69" ht="20.100000000000001" customHeight="1" x14ac:dyDescent="0.2">
      <c r="A126" s="17">
        <f t="shared" si="128"/>
        <v>124</v>
      </c>
      <c r="B126" s="17">
        <v>97150</v>
      </c>
      <c r="C126" s="24">
        <v>4239715000</v>
      </c>
      <c r="D126" s="19" t="s">
        <v>213</v>
      </c>
      <c r="E126" s="24" t="s">
        <v>186</v>
      </c>
      <c r="F126" s="33">
        <v>116</v>
      </c>
      <c r="G126" s="24">
        <v>423</v>
      </c>
      <c r="H126" s="12">
        <v>0</v>
      </c>
      <c r="I126" s="24">
        <v>0</v>
      </c>
      <c r="J126" s="2">
        <v>60</v>
      </c>
      <c r="K126" s="21" t="s">
        <v>91</v>
      </c>
      <c r="L126" s="2">
        <v>20.20824</v>
      </c>
      <c r="M126" s="2">
        <v>13.557602000000001</v>
      </c>
      <c r="N126" s="2" t="str">
        <f>CONCATENATE(ROUND(13.9*1.8,2)," ",K126)</f>
        <v xml:space="preserve">25.02 Per Visit </v>
      </c>
      <c r="O126" s="2" t="str">
        <f t="shared" si="176"/>
        <v xml:space="preserve">20.21 Per Visit </v>
      </c>
      <c r="P126" s="1" t="s">
        <v>188</v>
      </c>
      <c r="Q126" s="2" t="str">
        <f t="shared" si="177"/>
        <v xml:space="preserve">20.21 Per Visit </v>
      </c>
      <c r="R126" s="2" t="str">
        <f t="shared" si="178"/>
        <v xml:space="preserve">22.23 Per Visit </v>
      </c>
      <c r="S126" s="2" t="str">
        <f t="shared" si="179"/>
        <v xml:space="preserve">20.21 Per Visit </v>
      </c>
      <c r="T126" s="1" t="s">
        <v>413</v>
      </c>
      <c r="U126" s="1"/>
      <c r="V126" s="1" t="s">
        <v>412</v>
      </c>
      <c r="W126" s="2" t="str">
        <f t="shared" si="180"/>
        <v xml:space="preserve">20.21 Per Visit </v>
      </c>
      <c r="X126" s="2" t="str">
        <f t="shared" si="181"/>
        <v xml:space="preserve">20.21 Per Visit </v>
      </c>
      <c r="Y126" s="2" t="str">
        <f t="shared" si="182"/>
        <v xml:space="preserve">20.21 Per Visit </v>
      </c>
      <c r="Z126" s="1" t="s">
        <v>189</v>
      </c>
      <c r="AA126" s="2" t="str">
        <f t="shared" si="183"/>
        <v xml:space="preserve">19.2 Per Visit </v>
      </c>
      <c r="AB126" s="2" t="str">
        <f t="shared" si="184"/>
        <v xml:space="preserve">19.2 Per Visit </v>
      </c>
      <c r="AC126" s="2" t="str">
        <f t="shared" si="185"/>
        <v xml:space="preserve">20.21 Per Visit </v>
      </c>
      <c r="AD126" s="2" t="str">
        <f t="shared" si="186"/>
        <v xml:space="preserve">21.22 Per Visit </v>
      </c>
      <c r="AE126" s="2" t="str">
        <f t="shared" si="187"/>
        <v xml:space="preserve">20.21 Per Visit </v>
      </c>
      <c r="AF126" s="2" t="str">
        <f t="shared" si="188"/>
        <v xml:space="preserve">20.21 Per Visit </v>
      </c>
      <c r="AG126" s="2" t="str">
        <f t="shared" si="189"/>
        <v xml:space="preserve">18.59 Per Visit </v>
      </c>
      <c r="AH126" s="2">
        <f t="shared" si="190"/>
        <v>81.199999999999989</v>
      </c>
      <c r="AI126" s="1" t="s">
        <v>196</v>
      </c>
      <c r="AJ126" s="1" t="s">
        <v>190</v>
      </c>
      <c r="AK126" s="1" t="s">
        <v>191</v>
      </c>
      <c r="AL126" s="2" t="str">
        <f t="shared" si="191"/>
        <v xml:space="preserve">20.21 Per Visit </v>
      </c>
      <c r="AM126" s="2" t="str">
        <f t="shared" si="192"/>
        <v xml:space="preserve">20.21 Per Visit </v>
      </c>
      <c r="AN126" s="1" t="s">
        <v>192</v>
      </c>
      <c r="AO126" s="1" t="s">
        <v>192</v>
      </c>
      <c r="AP126" s="1" t="s">
        <v>193</v>
      </c>
      <c r="AQ126" s="1" t="s">
        <v>194</v>
      </c>
      <c r="AR126" s="1" t="s">
        <v>63</v>
      </c>
      <c r="AS126" s="1" t="s">
        <v>195</v>
      </c>
      <c r="AT126" s="1" t="s">
        <v>195</v>
      </c>
      <c r="AU126" s="1">
        <v>158.3634375</v>
      </c>
      <c r="AV126" s="2" t="str">
        <f>CONCATENATE(ROUND(M126*1.1,2)," ",K126)</f>
        <v xml:space="preserve">14.91 Per Visit </v>
      </c>
      <c r="AW126" s="2" t="str">
        <f t="shared" si="194"/>
        <v xml:space="preserve">20.21 Per Visit </v>
      </c>
      <c r="AX126" s="2" t="str">
        <f t="shared" si="195"/>
        <v xml:space="preserve">19.2 Per Visit </v>
      </c>
      <c r="AY126" s="2" t="str">
        <f t="shared" si="196"/>
        <v xml:space="preserve">17.78 Per Visit </v>
      </c>
      <c r="AZ126" s="2" t="s">
        <v>196</v>
      </c>
      <c r="BA126" s="1" t="s">
        <v>198</v>
      </c>
      <c r="BB126" s="1" t="s">
        <v>198</v>
      </c>
      <c r="BC126" s="2">
        <v>0</v>
      </c>
      <c r="BD126" s="2">
        <v>0</v>
      </c>
      <c r="BE126" s="2">
        <v>0</v>
      </c>
      <c r="BF126" s="1" t="s">
        <v>199</v>
      </c>
      <c r="BG126" s="2" t="str">
        <f t="shared" si="197"/>
        <v xml:space="preserve">20.21 Per Visit </v>
      </c>
      <c r="BH126" s="2" t="str">
        <f t="shared" si="198"/>
        <v xml:space="preserve">19.2 Per Visit </v>
      </c>
      <c r="BI126" s="1" t="s">
        <v>63</v>
      </c>
      <c r="BJ126" s="1" t="s">
        <v>63</v>
      </c>
      <c r="BK126" s="2" t="str">
        <f t="shared" si="199"/>
        <v xml:space="preserve">19.2 Per Visit </v>
      </c>
      <c r="BL126" s="2" t="str">
        <f t="shared" si="200"/>
        <v xml:space="preserve">20.21 Per Visit </v>
      </c>
      <c r="BM126" s="1" t="s">
        <v>200</v>
      </c>
      <c r="BN126" s="1" t="s">
        <v>198</v>
      </c>
      <c r="BO126" s="2" t="str">
        <f>AV126</f>
        <v xml:space="preserve">14.91 Per Visit </v>
      </c>
      <c r="BP126" s="2" t="s">
        <v>201</v>
      </c>
      <c r="BQ126" s="22"/>
    </row>
    <row r="127" spans="1:69" ht="20.100000000000001" customHeight="1" x14ac:dyDescent="0.2">
      <c r="A127" s="17">
        <f t="shared" si="128"/>
        <v>125</v>
      </c>
      <c r="B127" s="17">
        <v>97022</v>
      </c>
      <c r="C127" s="24">
        <v>4209702200</v>
      </c>
      <c r="D127" s="19" t="s">
        <v>214</v>
      </c>
      <c r="E127" s="24" t="s">
        <v>186</v>
      </c>
      <c r="F127" s="33">
        <v>58.56</v>
      </c>
      <c r="G127" s="24">
        <v>420</v>
      </c>
      <c r="H127" s="12">
        <v>0</v>
      </c>
      <c r="I127" s="24">
        <v>0</v>
      </c>
      <c r="J127" s="2">
        <f>L127*1.3</f>
        <v>26.970736000000006</v>
      </c>
      <c r="K127" s="21" t="s">
        <v>91</v>
      </c>
      <c r="L127" s="2">
        <v>20.746720000000003</v>
      </c>
      <c r="M127" s="2">
        <v>11.154482000000002</v>
      </c>
      <c r="N127" s="2" t="str">
        <f>CONCATENATE(ROUND(15.38*1.8,2)," ",K127)</f>
        <v xml:space="preserve">27.68 Per Visit </v>
      </c>
      <c r="O127" s="2" t="str">
        <f t="shared" si="176"/>
        <v xml:space="preserve">20.75 Per Visit </v>
      </c>
      <c r="P127" s="1" t="s">
        <v>188</v>
      </c>
      <c r="Q127" s="2" t="str">
        <f t="shared" si="177"/>
        <v xml:space="preserve">20.75 Per Visit </v>
      </c>
      <c r="R127" s="2" t="str">
        <f t="shared" si="178"/>
        <v xml:space="preserve">22.82 Per Visit </v>
      </c>
      <c r="S127" s="2" t="str">
        <f t="shared" si="179"/>
        <v xml:space="preserve">20.75 Per Visit </v>
      </c>
      <c r="T127" s="1" t="s">
        <v>413</v>
      </c>
      <c r="U127" s="1"/>
      <c r="V127" s="1" t="s">
        <v>412</v>
      </c>
      <c r="W127" s="2" t="str">
        <f t="shared" si="180"/>
        <v xml:space="preserve">20.75 Per Visit </v>
      </c>
      <c r="X127" s="2" t="str">
        <f t="shared" si="181"/>
        <v xml:space="preserve">20.75 Per Visit </v>
      </c>
      <c r="Y127" s="2" t="str">
        <f t="shared" si="182"/>
        <v xml:space="preserve">20.75 Per Visit </v>
      </c>
      <c r="Z127" s="1" t="s">
        <v>189</v>
      </c>
      <c r="AA127" s="2" t="str">
        <f t="shared" si="183"/>
        <v xml:space="preserve">19.71 Per Visit </v>
      </c>
      <c r="AB127" s="2" t="str">
        <f t="shared" si="184"/>
        <v xml:space="preserve">19.71 Per Visit </v>
      </c>
      <c r="AC127" s="2" t="str">
        <f t="shared" si="185"/>
        <v xml:space="preserve">20.75 Per Visit </v>
      </c>
      <c r="AD127" s="2" t="str">
        <f t="shared" si="186"/>
        <v xml:space="preserve">21.78 Per Visit </v>
      </c>
      <c r="AE127" s="2" t="str">
        <f t="shared" si="187"/>
        <v xml:space="preserve">20.75 Per Visit </v>
      </c>
      <c r="AF127" s="2" t="str">
        <f t="shared" si="188"/>
        <v xml:space="preserve">20.75 Per Visit </v>
      </c>
      <c r="AG127" s="2" t="str">
        <f t="shared" si="189"/>
        <v xml:space="preserve">19.09 Per Visit </v>
      </c>
      <c r="AH127" s="2">
        <f>F126*0.7</f>
        <v>81.199999999999989</v>
      </c>
      <c r="AI127" s="1" t="s">
        <v>196</v>
      </c>
      <c r="AJ127" s="1" t="s">
        <v>190</v>
      </c>
      <c r="AK127" s="1" t="s">
        <v>191</v>
      </c>
      <c r="AL127" s="2" t="str">
        <f t="shared" si="191"/>
        <v xml:space="preserve">20.75 Per Visit </v>
      </c>
      <c r="AM127" s="2" t="str">
        <f t="shared" si="192"/>
        <v xml:space="preserve">20.75 Per Visit </v>
      </c>
      <c r="AN127" s="1" t="s">
        <v>192</v>
      </c>
      <c r="AO127" s="1" t="s">
        <v>192</v>
      </c>
      <c r="AP127" s="1" t="s">
        <v>193</v>
      </c>
      <c r="AQ127" s="1" t="s">
        <v>194</v>
      </c>
      <c r="AR127" s="1" t="s">
        <v>63</v>
      </c>
      <c r="AS127" s="1" t="s">
        <v>195</v>
      </c>
      <c r="AT127" s="1" t="s">
        <v>195</v>
      </c>
      <c r="AU127" s="1">
        <v>158.3634375</v>
      </c>
      <c r="AV127" s="2" t="str">
        <f>CONCATENATE(ROUND(M127*1.1,2)," ",K127)</f>
        <v xml:space="preserve">12.27 Per Visit </v>
      </c>
      <c r="AW127" s="2" t="str">
        <f t="shared" si="194"/>
        <v xml:space="preserve">20.75 Per Visit </v>
      </c>
      <c r="AX127" s="2" t="str">
        <f t="shared" si="195"/>
        <v xml:space="preserve">19.71 Per Visit </v>
      </c>
      <c r="AY127" s="2" t="str">
        <f t="shared" si="196"/>
        <v xml:space="preserve">18.26 Per Visit </v>
      </c>
      <c r="AZ127" s="2" t="s">
        <v>196</v>
      </c>
      <c r="BA127" s="1" t="s">
        <v>198</v>
      </c>
      <c r="BB127" s="1" t="s">
        <v>198</v>
      </c>
      <c r="BC127" s="2">
        <v>0</v>
      </c>
      <c r="BD127" s="2">
        <v>0</v>
      </c>
      <c r="BE127" s="2">
        <v>0</v>
      </c>
      <c r="BF127" s="1" t="s">
        <v>199</v>
      </c>
      <c r="BG127" s="2" t="str">
        <f t="shared" si="197"/>
        <v xml:space="preserve">20.75 Per Visit </v>
      </c>
      <c r="BH127" s="2" t="str">
        <f t="shared" si="198"/>
        <v xml:space="preserve">19.71 Per Visit </v>
      </c>
      <c r="BI127" s="1" t="s">
        <v>63</v>
      </c>
      <c r="BJ127" s="1" t="s">
        <v>63</v>
      </c>
      <c r="BK127" s="2" t="str">
        <f t="shared" si="199"/>
        <v xml:space="preserve">19.71 Per Visit </v>
      </c>
      <c r="BL127" s="2" t="str">
        <f t="shared" si="200"/>
        <v xml:space="preserve">20.75 Per Visit </v>
      </c>
      <c r="BM127" s="1" t="s">
        <v>200</v>
      </c>
      <c r="BN127" s="1" t="s">
        <v>198</v>
      </c>
      <c r="BO127" s="2" t="str">
        <f>AV127</f>
        <v xml:space="preserve">12.27 Per Visit </v>
      </c>
      <c r="BP127" s="2" t="s">
        <v>201</v>
      </c>
      <c r="BQ127" s="22"/>
    </row>
    <row r="128" spans="1:69" ht="20.100000000000001" customHeight="1" x14ac:dyDescent="0.2">
      <c r="A128" s="17">
        <f t="shared" si="128"/>
        <v>126</v>
      </c>
      <c r="B128" s="17">
        <v>97018</v>
      </c>
      <c r="C128" s="17">
        <v>4209701800</v>
      </c>
      <c r="D128" s="19" t="s">
        <v>215</v>
      </c>
      <c r="E128" s="24" t="s">
        <v>186</v>
      </c>
      <c r="F128" s="33">
        <v>19.170000000000002</v>
      </c>
      <c r="G128" s="24">
        <v>420</v>
      </c>
      <c r="H128" s="12">
        <v>0</v>
      </c>
      <c r="I128" s="24">
        <v>0</v>
      </c>
      <c r="J128" s="2">
        <f>L128*1.3</f>
        <v>8.6644480000000001</v>
      </c>
      <c r="K128" s="21" t="s">
        <v>91</v>
      </c>
      <c r="L128" s="2">
        <v>6.6649599999999998</v>
      </c>
      <c r="M128" s="2">
        <v>9.8527920000000009</v>
      </c>
      <c r="N128" s="2" t="str">
        <f>CONCATENATE(ROUND(7.19*1.8,2)," ",K128)</f>
        <v xml:space="preserve">12.94 Per Visit </v>
      </c>
      <c r="O128" s="2" t="str">
        <f t="shared" si="176"/>
        <v xml:space="preserve">6.66 Per Visit </v>
      </c>
      <c r="P128" s="1" t="s">
        <v>188</v>
      </c>
      <c r="Q128" s="2" t="str">
        <f t="shared" si="177"/>
        <v xml:space="preserve">6.66 Per Visit </v>
      </c>
      <c r="R128" s="2" t="str">
        <f t="shared" si="178"/>
        <v xml:space="preserve">7.33 Per Visit </v>
      </c>
      <c r="S128" s="2" t="str">
        <f t="shared" si="179"/>
        <v xml:space="preserve">6.66 Per Visit </v>
      </c>
      <c r="T128" s="1" t="s">
        <v>413</v>
      </c>
      <c r="U128" s="1"/>
      <c r="V128" s="1" t="s">
        <v>412</v>
      </c>
      <c r="W128" s="2" t="str">
        <f t="shared" si="180"/>
        <v xml:space="preserve">6.66 Per Visit </v>
      </c>
      <c r="X128" s="2" t="str">
        <f t="shared" si="181"/>
        <v xml:space="preserve">6.66 Per Visit </v>
      </c>
      <c r="Y128" s="2" t="str">
        <f t="shared" si="182"/>
        <v xml:space="preserve">6.66 Per Visit </v>
      </c>
      <c r="Z128" s="1" t="s">
        <v>189</v>
      </c>
      <c r="AA128" s="2" t="str">
        <f t="shared" si="183"/>
        <v xml:space="preserve">6.33 Per Visit </v>
      </c>
      <c r="AB128" s="2" t="str">
        <f t="shared" si="184"/>
        <v xml:space="preserve">6.33 Per Visit </v>
      </c>
      <c r="AC128" s="2" t="str">
        <f t="shared" si="185"/>
        <v xml:space="preserve">6.66 Per Visit </v>
      </c>
      <c r="AD128" s="2" t="str">
        <f t="shared" si="186"/>
        <v xml:space="preserve">7 Per Visit </v>
      </c>
      <c r="AE128" s="2" t="str">
        <f t="shared" si="187"/>
        <v xml:space="preserve">6.66 Per Visit </v>
      </c>
      <c r="AF128" s="2" t="str">
        <f t="shared" si="188"/>
        <v xml:space="preserve">6.66 Per Visit </v>
      </c>
      <c r="AG128" s="2" t="str">
        <f t="shared" si="189"/>
        <v xml:space="preserve">6.13 Per Visit </v>
      </c>
      <c r="AH128" s="2">
        <f t="shared" ref="AH128:AH159" si="202">F128*0.7</f>
        <v>13.419</v>
      </c>
      <c r="AI128" s="1" t="s">
        <v>196</v>
      </c>
      <c r="AJ128" s="1" t="s">
        <v>190</v>
      </c>
      <c r="AK128" s="1" t="s">
        <v>191</v>
      </c>
      <c r="AL128" s="2" t="str">
        <f t="shared" si="191"/>
        <v xml:space="preserve">6.66 Per Visit </v>
      </c>
      <c r="AM128" s="2" t="str">
        <f t="shared" si="192"/>
        <v xml:space="preserve">6.66 Per Visit </v>
      </c>
      <c r="AN128" s="1" t="s">
        <v>192</v>
      </c>
      <c r="AO128" s="1" t="s">
        <v>192</v>
      </c>
      <c r="AP128" s="1" t="s">
        <v>193</v>
      </c>
      <c r="AQ128" s="1" t="s">
        <v>194</v>
      </c>
      <c r="AR128" s="1" t="s">
        <v>63</v>
      </c>
      <c r="AS128" s="1" t="s">
        <v>195</v>
      </c>
      <c r="AT128" s="1" t="s">
        <v>195</v>
      </c>
      <c r="AU128" s="1">
        <v>158.3634375</v>
      </c>
      <c r="AV128" s="2" t="str">
        <f>CONCATENATE(ROUND(M128*1.1,2)," ",K128)</f>
        <v xml:space="preserve">10.84 Per Visit </v>
      </c>
      <c r="AW128" s="2" t="str">
        <f t="shared" si="194"/>
        <v xml:space="preserve">6.66 Per Visit </v>
      </c>
      <c r="AX128" s="2" t="str">
        <f t="shared" si="195"/>
        <v xml:space="preserve">6.33 Per Visit </v>
      </c>
      <c r="AY128" s="2" t="str">
        <f t="shared" si="196"/>
        <v xml:space="preserve">5.87 Per Visit </v>
      </c>
      <c r="AZ128" s="2" t="s">
        <v>196</v>
      </c>
      <c r="BA128" s="1" t="s">
        <v>198</v>
      </c>
      <c r="BB128" s="1" t="s">
        <v>198</v>
      </c>
      <c r="BC128" s="2">
        <v>0</v>
      </c>
      <c r="BD128" s="2">
        <v>0</v>
      </c>
      <c r="BE128" s="2">
        <v>0</v>
      </c>
      <c r="BF128" s="1" t="s">
        <v>199</v>
      </c>
      <c r="BG128" s="2" t="str">
        <f t="shared" si="197"/>
        <v xml:space="preserve">6.66 Per Visit </v>
      </c>
      <c r="BH128" s="2" t="str">
        <f t="shared" si="198"/>
        <v xml:space="preserve">6.33 Per Visit </v>
      </c>
      <c r="BI128" s="1" t="s">
        <v>63</v>
      </c>
      <c r="BJ128" s="1" t="s">
        <v>63</v>
      </c>
      <c r="BK128" s="2" t="str">
        <f t="shared" si="199"/>
        <v xml:space="preserve">6.33 Per Visit </v>
      </c>
      <c r="BL128" s="2" t="str">
        <f t="shared" si="200"/>
        <v xml:space="preserve">6.66 Per Visit </v>
      </c>
      <c r="BM128" s="1" t="s">
        <v>200</v>
      </c>
      <c r="BN128" s="1" t="s">
        <v>198</v>
      </c>
      <c r="BO128" s="2" t="str">
        <f>AY128</f>
        <v xml:space="preserve">5.87 Per Visit </v>
      </c>
      <c r="BP128" s="2" t="s">
        <v>201</v>
      </c>
      <c r="BQ128" s="22"/>
    </row>
    <row r="129" spans="1:69" ht="20.100000000000001" customHeight="1" x14ac:dyDescent="0.2">
      <c r="A129" s="17">
        <f t="shared" si="128"/>
        <v>127</v>
      </c>
      <c r="B129" s="17">
        <v>97542</v>
      </c>
      <c r="C129" s="17">
        <v>4209754200</v>
      </c>
      <c r="D129" s="19" t="s">
        <v>216</v>
      </c>
      <c r="E129" s="24" t="s">
        <v>186</v>
      </c>
      <c r="F129" s="33">
        <v>107.16</v>
      </c>
      <c r="G129" s="24">
        <v>420</v>
      </c>
      <c r="H129" s="12">
        <v>0</v>
      </c>
      <c r="I129" s="24">
        <v>0</v>
      </c>
      <c r="J129" s="2">
        <v>225</v>
      </c>
      <c r="K129" s="21" t="s">
        <v>187</v>
      </c>
      <c r="L129" s="2">
        <v>36.697919999999996</v>
      </c>
      <c r="M129" s="1">
        <v>0</v>
      </c>
      <c r="N129" s="2" t="str">
        <f>CONCATENATE(ROUND(20.72*1.8,2)," ",K129)</f>
        <v>37.3 Per 15 minutes</v>
      </c>
      <c r="O129" s="2" t="str">
        <f t="shared" si="176"/>
        <v>36.7 Per 15 minutes</v>
      </c>
      <c r="P129" s="1" t="s">
        <v>188</v>
      </c>
      <c r="Q129" s="2" t="str">
        <f t="shared" si="177"/>
        <v>36.7 Per 15 minutes</v>
      </c>
      <c r="R129" s="2" t="str">
        <f t="shared" si="178"/>
        <v>40.37 Per 15 minutes</v>
      </c>
      <c r="S129" s="2" t="str">
        <f t="shared" si="179"/>
        <v>36.7 Per 15 minutes</v>
      </c>
      <c r="T129" s="1" t="s">
        <v>413</v>
      </c>
      <c r="U129" s="1"/>
      <c r="V129" s="1" t="s">
        <v>412</v>
      </c>
      <c r="W129" s="2" t="str">
        <f t="shared" si="180"/>
        <v>36.7 Per 15 minutes</v>
      </c>
      <c r="X129" s="2" t="str">
        <f t="shared" si="181"/>
        <v>36.7 Per 15 minutes</v>
      </c>
      <c r="Y129" s="2" t="str">
        <f t="shared" si="182"/>
        <v>36.7 Per 15 minutes</v>
      </c>
      <c r="Z129" s="1" t="s">
        <v>189</v>
      </c>
      <c r="AA129" s="2" t="str">
        <f t="shared" si="183"/>
        <v>34.86 Per 15 minutes</v>
      </c>
      <c r="AB129" s="2" t="str">
        <f t="shared" si="184"/>
        <v>34.86 Per 15 minutes</v>
      </c>
      <c r="AC129" s="2" t="str">
        <f t="shared" si="185"/>
        <v>36.7 Per 15 minutes</v>
      </c>
      <c r="AD129" s="2" t="str">
        <f t="shared" si="186"/>
        <v>38.53 Per 15 minutes</v>
      </c>
      <c r="AE129" s="2" t="str">
        <f t="shared" si="187"/>
        <v>36.7 Per 15 minutes</v>
      </c>
      <c r="AF129" s="2" t="str">
        <f t="shared" si="188"/>
        <v>36.7 Per 15 minutes</v>
      </c>
      <c r="AG129" s="2" t="str">
        <f t="shared" si="189"/>
        <v>33.76 Per 15 minutes</v>
      </c>
      <c r="AH129" s="2">
        <f t="shared" si="202"/>
        <v>75.011999999999986</v>
      </c>
      <c r="AI129" s="1" t="s">
        <v>196</v>
      </c>
      <c r="AJ129" s="1" t="s">
        <v>190</v>
      </c>
      <c r="AK129" s="1" t="s">
        <v>191</v>
      </c>
      <c r="AL129" s="2" t="str">
        <f t="shared" si="191"/>
        <v>36.7 Per 15 minutes</v>
      </c>
      <c r="AM129" s="2" t="str">
        <f t="shared" si="192"/>
        <v>36.7 Per 15 minutes</v>
      </c>
      <c r="AN129" s="1" t="s">
        <v>192</v>
      </c>
      <c r="AO129" s="1" t="s">
        <v>192</v>
      </c>
      <c r="AP129" s="1" t="s">
        <v>193</v>
      </c>
      <c r="AQ129" s="1" t="s">
        <v>194</v>
      </c>
      <c r="AR129" s="1" t="s">
        <v>63</v>
      </c>
      <c r="AS129" s="1" t="s">
        <v>195</v>
      </c>
      <c r="AT129" s="1" t="s">
        <v>195</v>
      </c>
      <c r="AU129" s="1">
        <v>158.3634375</v>
      </c>
      <c r="AV129" s="2">
        <f>M129</f>
        <v>0</v>
      </c>
      <c r="AW129" s="2" t="str">
        <f t="shared" si="194"/>
        <v>36.7 Per 15 minutes</v>
      </c>
      <c r="AX129" s="2" t="str">
        <f t="shared" si="195"/>
        <v>34.86 Per 15 minutes</v>
      </c>
      <c r="AY129" s="2" t="str">
        <f t="shared" si="196"/>
        <v>32.29 Per 15 minutes</v>
      </c>
      <c r="AZ129" s="2" t="s">
        <v>196</v>
      </c>
      <c r="BA129" s="1" t="s">
        <v>198</v>
      </c>
      <c r="BB129" s="1" t="s">
        <v>198</v>
      </c>
      <c r="BC129" s="2">
        <v>0</v>
      </c>
      <c r="BD129" s="2">
        <v>0</v>
      </c>
      <c r="BE129" s="2">
        <v>0</v>
      </c>
      <c r="BF129" s="1" t="s">
        <v>199</v>
      </c>
      <c r="BG129" s="2" t="str">
        <f t="shared" si="197"/>
        <v>36.7 Per 15 minutes</v>
      </c>
      <c r="BH129" s="2" t="str">
        <f t="shared" si="198"/>
        <v>34.86 Per 15 minutes</v>
      </c>
      <c r="BI129" s="1" t="s">
        <v>63</v>
      </c>
      <c r="BJ129" s="1" t="s">
        <v>63</v>
      </c>
      <c r="BK129" s="2" t="str">
        <f t="shared" si="199"/>
        <v>34.86 Per 15 minutes</v>
      </c>
      <c r="BL129" s="2" t="str">
        <f t="shared" si="200"/>
        <v>36.7 Per 15 minutes</v>
      </c>
      <c r="BM129" s="1" t="s">
        <v>200</v>
      </c>
      <c r="BN129" s="1" t="s">
        <v>198</v>
      </c>
      <c r="BO129" s="1" t="s">
        <v>217</v>
      </c>
      <c r="BP129" s="2" t="s">
        <v>201</v>
      </c>
      <c r="BQ129" s="22"/>
    </row>
    <row r="130" spans="1:69" ht="20.100000000000001" customHeight="1" x14ac:dyDescent="0.2">
      <c r="A130" s="17">
        <f t="shared" si="128"/>
        <v>128</v>
      </c>
      <c r="B130" s="17">
        <v>97035</v>
      </c>
      <c r="C130" s="24">
        <v>4209703500</v>
      </c>
      <c r="D130" s="19" t="s">
        <v>218</v>
      </c>
      <c r="E130" s="24" t="s">
        <v>186</v>
      </c>
      <c r="F130" s="33">
        <v>48.33</v>
      </c>
      <c r="G130" s="24">
        <v>420</v>
      </c>
      <c r="H130" s="12">
        <v>0</v>
      </c>
      <c r="I130" s="24">
        <v>0</v>
      </c>
      <c r="J130" s="2">
        <f>L130*1.3</f>
        <v>21.317712000000004</v>
      </c>
      <c r="K130" s="21" t="s">
        <v>91</v>
      </c>
      <c r="L130" s="2">
        <v>16.398240000000001</v>
      </c>
      <c r="M130" s="2">
        <v>7.4396590000000007</v>
      </c>
      <c r="N130" s="2" t="str">
        <f>CONCATENATE(ROUND(8.48*1.8,2)," ",K130)</f>
        <v xml:space="preserve">15.26 Per Visit </v>
      </c>
      <c r="O130" s="2" t="str">
        <f t="shared" si="176"/>
        <v xml:space="preserve">16.4 Per Visit </v>
      </c>
      <c r="P130" s="1" t="s">
        <v>188</v>
      </c>
      <c r="Q130" s="2" t="str">
        <f t="shared" si="177"/>
        <v xml:space="preserve">16.4 Per Visit </v>
      </c>
      <c r="R130" s="2" t="str">
        <f t="shared" si="178"/>
        <v xml:space="preserve">18.04 Per Visit </v>
      </c>
      <c r="S130" s="2" t="str">
        <f t="shared" si="179"/>
        <v xml:space="preserve">16.4 Per Visit </v>
      </c>
      <c r="T130" s="1" t="s">
        <v>413</v>
      </c>
      <c r="U130" s="1"/>
      <c r="V130" s="1" t="s">
        <v>412</v>
      </c>
      <c r="W130" s="2" t="str">
        <f t="shared" si="180"/>
        <v xml:space="preserve">16.4 Per Visit </v>
      </c>
      <c r="X130" s="2" t="str">
        <f t="shared" si="181"/>
        <v xml:space="preserve">16.4 Per Visit </v>
      </c>
      <c r="Y130" s="2" t="str">
        <f t="shared" si="182"/>
        <v xml:space="preserve">16.4 Per Visit </v>
      </c>
      <c r="Z130" s="1" t="s">
        <v>189</v>
      </c>
      <c r="AA130" s="2" t="str">
        <f t="shared" si="183"/>
        <v xml:space="preserve">15.58 Per Visit </v>
      </c>
      <c r="AB130" s="2" t="str">
        <f t="shared" si="184"/>
        <v xml:space="preserve">15.58 Per Visit </v>
      </c>
      <c r="AC130" s="2" t="str">
        <f t="shared" si="185"/>
        <v xml:space="preserve">16.4 Per Visit </v>
      </c>
      <c r="AD130" s="2" t="str">
        <f t="shared" si="186"/>
        <v xml:space="preserve">17.22 Per Visit </v>
      </c>
      <c r="AE130" s="2" t="str">
        <f t="shared" si="187"/>
        <v xml:space="preserve">16.4 Per Visit </v>
      </c>
      <c r="AF130" s="2" t="str">
        <f t="shared" si="188"/>
        <v xml:space="preserve">16.4 Per Visit </v>
      </c>
      <c r="AG130" s="2" t="str">
        <f t="shared" si="189"/>
        <v xml:space="preserve">15.09 Per Visit </v>
      </c>
      <c r="AH130" s="2">
        <f t="shared" si="202"/>
        <v>33.830999999999996</v>
      </c>
      <c r="AI130" s="1" t="s">
        <v>196</v>
      </c>
      <c r="AJ130" s="1" t="s">
        <v>190</v>
      </c>
      <c r="AK130" s="1" t="s">
        <v>191</v>
      </c>
      <c r="AL130" s="2" t="str">
        <f t="shared" si="191"/>
        <v xml:space="preserve">16.4 Per Visit </v>
      </c>
      <c r="AM130" s="2" t="str">
        <f t="shared" si="192"/>
        <v xml:space="preserve">16.4 Per Visit </v>
      </c>
      <c r="AN130" s="1" t="s">
        <v>192</v>
      </c>
      <c r="AO130" s="1" t="s">
        <v>192</v>
      </c>
      <c r="AP130" s="1" t="s">
        <v>193</v>
      </c>
      <c r="AQ130" s="1" t="s">
        <v>194</v>
      </c>
      <c r="AR130" s="1" t="s">
        <v>63</v>
      </c>
      <c r="AS130" s="1" t="s">
        <v>195</v>
      </c>
      <c r="AT130" s="1" t="s">
        <v>195</v>
      </c>
      <c r="AU130" s="1">
        <v>158.3634375</v>
      </c>
      <c r="AV130" s="2" t="str">
        <f>CONCATENATE(ROUND(M130*1.1,2)," ",K130)</f>
        <v xml:space="preserve">8.18 Per Visit </v>
      </c>
      <c r="AW130" s="2" t="str">
        <f t="shared" si="194"/>
        <v xml:space="preserve">16.4 Per Visit </v>
      </c>
      <c r="AX130" s="2" t="str">
        <f t="shared" si="195"/>
        <v xml:space="preserve">15.58 Per Visit </v>
      </c>
      <c r="AY130" s="2" t="str">
        <f t="shared" si="196"/>
        <v xml:space="preserve">14.43 Per Visit </v>
      </c>
      <c r="AZ130" s="2" t="s">
        <v>196</v>
      </c>
      <c r="BA130" s="1" t="s">
        <v>198</v>
      </c>
      <c r="BB130" s="1" t="s">
        <v>198</v>
      </c>
      <c r="BC130" s="2">
        <v>0</v>
      </c>
      <c r="BD130" s="2">
        <v>0</v>
      </c>
      <c r="BE130" s="2">
        <v>0</v>
      </c>
      <c r="BF130" s="1" t="s">
        <v>199</v>
      </c>
      <c r="BG130" s="2" t="str">
        <f t="shared" si="197"/>
        <v xml:space="preserve">16.4 Per Visit </v>
      </c>
      <c r="BH130" s="2" t="str">
        <f t="shared" si="198"/>
        <v xml:space="preserve">15.58 Per Visit </v>
      </c>
      <c r="BI130" s="1" t="s">
        <v>63</v>
      </c>
      <c r="BJ130" s="1" t="s">
        <v>63</v>
      </c>
      <c r="BK130" s="2" t="str">
        <f t="shared" si="199"/>
        <v xml:space="preserve">15.58 Per Visit </v>
      </c>
      <c r="BL130" s="2" t="str">
        <f t="shared" si="200"/>
        <v xml:space="preserve">16.4 Per Visit </v>
      </c>
      <c r="BM130" s="1" t="s">
        <v>200</v>
      </c>
      <c r="BN130" s="1" t="s">
        <v>198</v>
      </c>
      <c r="BO130" s="2" t="str">
        <f>AV130</f>
        <v xml:space="preserve">8.18 Per Visit </v>
      </c>
      <c r="BP130" s="2" t="s">
        <v>201</v>
      </c>
      <c r="BQ130" s="22"/>
    </row>
    <row r="131" spans="1:69" ht="20.100000000000001" customHeight="1" x14ac:dyDescent="0.2">
      <c r="A131" s="17">
        <f t="shared" si="128"/>
        <v>129</v>
      </c>
      <c r="B131" s="17">
        <v>97166</v>
      </c>
      <c r="C131" s="17">
        <v>4349716600</v>
      </c>
      <c r="D131" s="19" t="s">
        <v>219</v>
      </c>
      <c r="E131" s="24" t="s">
        <v>186</v>
      </c>
      <c r="F131" s="33">
        <v>337.62</v>
      </c>
      <c r="G131" s="24">
        <v>434</v>
      </c>
      <c r="H131" s="12">
        <v>0</v>
      </c>
      <c r="I131" s="24">
        <v>0</v>
      </c>
      <c r="J131" s="2">
        <v>150</v>
      </c>
      <c r="K131" s="21" t="s">
        <v>91</v>
      </c>
      <c r="L131" s="2">
        <v>110.20552000000001</v>
      </c>
      <c r="M131" s="1">
        <v>0</v>
      </c>
      <c r="N131" s="2" t="str">
        <f>CONCATENATE(ROUND(67.17*1.8,2)," ",K131)</f>
        <v xml:space="preserve">120.91 Per Visit </v>
      </c>
      <c r="O131" s="2" t="str">
        <f t="shared" si="176"/>
        <v xml:space="preserve">110.21 Per Visit </v>
      </c>
      <c r="P131" s="1" t="s">
        <v>188</v>
      </c>
      <c r="Q131" s="2" t="str">
        <f t="shared" si="177"/>
        <v xml:space="preserve">110.21 Per Visit </v>
      </c>
      <c r="R131" s="2" t="str">
        <f t="shared" si="178"/>
        <v xml:space="preserve">121.23 Per Visit </v>
      </c>
      <c r="S131" s="2" t="str">
        <f t="shared" si="179"/>
        <v xml:space="preserve">110.21 Per Visit </v>
      </c>
      <c r="T131" s="1" t="s">
        <v>413</v>
      </c>
      <c r="U131" s="1"/>
      <c r="V131" s="1" t="s">
        <v>412</v>
      </c>
      <c r="W131" s="2" t="str">
        <f t="shared" si="180"/>
        <v xml:space="preserve">110.21 Per Visit </v>
      </c>
      <c r="X131" s="2" t="str">
        <f t="shared" si="181"/>
        <v xml:space="preserve">110.21 Per Visit </v>
      </c>
      <c r="Y131" s="2" t="str">
        <f t="shared" si="182"/>
        <v xml:space="preserve">110.21 Per Visit </v>
      </c>
      <c r="Z131" s="1" t="s">
        <v>189</v>
      </c>
      <c r="AA131" s="2" t="str">
        <f t="shared" si="183"/>
        <v xml:space="preserve">104.7 Per Visit </v>
      </c>
      <c r="AB131" s="2" t="str">
        <f t="shared" si="184"/>
        <v xml:space="preserve">104.7 Per Visit </v>
      </c>
      <c r="AC131" s="2" t="str">
        <f t="shared" si="185"/>
        <v xml:space="preserve">110.21 Per Visit </v>
      </c>
      <c r="AD131" s="2" t="str">
        <f t="shared" si="186"/>
        <v xml:space="preserve">115.72 Per Visit </v>
      </c>
      <c r="AE131" s="2" t="str">
        <f t="shared" si="187"/>
        <v xml:space="preserve">110.21 Per Visit </v>
      </c>
      <c r="AF131" s="2" t="str">
        <f t="shared" si="188"/>
        <v xml:space="preserve">110.21 Per Visit </v>
      </c>
      <c r="AG131" s="2" t="str">
        <f t="shared" si="189"/>
        <v xml:space="preserve">101.39 Per Visit </v>
      </c>
      <c r="AH131" s="2">
        <f t="shared" si="202"/>
        <v>236.33399999999997</v>
      </c>
      <c r="AI131" s="1" t="s">
        <v>196</v>
      </c>
      <c r="AJ131" s="1" t="s">
        <v>190</v>
      </c>
      <c r="AK131" s="1" t="s">
        <v>191</v>
      </c>
      <c r="AL131" s="2" t="str">
        <f t="shared" si="191"/>
        <v xml:space="preserve">110.21 Per Visit </v>
      </c>
      <c r="AM131" s="2" t="str">
        <f t="shared" si="192"/>
        <v xml:space="preserve">110.21 Per Visit </v>
      </c>
      <c r="AN131" s="1" t="s">
        <v>192</v>
      </c>
      <c r="AO131" s="1" t="s">
        <v>192</v>
      </c>
      <c r="AP131" s="1" t="s">
        <v>193</v>
      </c>
      <c r="AQ131" s="1" t="s">
        <v>194</v>
      </c>
      <c r="AR131" s="1" t="s">
        <v>63</v>
      </c>
      <c r="AS131" s="1" t="s">
        <v>195</v>
      </c>
      <c r="AT131" s="1" t="s">
        <v>195</v>
      </c>
      <c r="AU131" s="1">
        <v>158.3634375</v>
      </c>
      <c r="AV131" s="1" t="s">
        <v>220</v>
      </c>
      <c r="AW131" s="2" t="str">
        <f t="shared" si="194"/>
        <v xml:space="preserve">110.21 Per Visit </v>
      </c>
      <c r="AX131" s="2" t="str">
        <f t="shared" si="195"/>
        <v xml:space="preserve">104.7 Per Visit </v>
      </c>
      <c r="AY131" s="2" t="str">
        <f t="shared" si="196"/>
        <v xml:space="preserve">96.98 Per Visit </v>
      </c>
      <c r="AZ131" s="2" t="s">
        <v>196</v>
      </c>
      <c r="BA131" s="1" t="s">
        <v>198</v>
      </c>
      <c r="BB131" s="1" t="s">
        <v>198</v>
      </c>
      <c r="BC131" s="2">
        <v>0</v>
      </c>
      <c r="BD131" s="2">
        <v>0</v>
      </c>
      <c r="BE131" s="2">
        <v>0</v>
      </c>
      <c r="BF131" s="1" t="s">
        <v>199</v>
      </c>
      <c r="BG131" s="2" t="str">
        <f t="shared" si="197"/>
        <v xml:space="preserve">110.21 Per Visit </v>
      </c>
      <c r="BH131" s="2" t="str">
        <f t="shared" si="198"/>
        <v xml:space="preserve">104.7 Per Visit </v>
      </c>
      <c r="BI131" s="1" t="s">
        <v>63</v>
      </c>
      <c r="BJ131" s="1" t="s">
        <v>63</v>
      </c>
      <c r="BK131" s="2" t="str">
        <f t="shared" si="199"/>
        <v xml:space="preserve">104.7 Per Visit </v>
      </c>
      <c r="BL131" s="2" t="str">
        <f t="shared" si="200"/>
        <v xml:space="preserve">110.21 Per Visit </v>
      </c>
      <c r="BM131" s="1" t="s">
        <v>200</v>
      </c>
      <c r="BN131" s="1" t="s">
        <v>198</v>
      </c>
      <c r="BO131" s="2" t="str">
        <f>AY131</f>
        <v xml:space="preserve">96.98 Per Visit </v>
      </c>
      <c r="BP131" s="2" t="s">
        <v>201</v>
      </c>
      <c r="BQ131" s="22"/>
    </row>
    <row r="132" spans="1:69" ht="20.100000000000001" customHeight="1" x14ac:dyDescent="0.2">
      <c r="A132" s="17">
        <f t="shared" si="128"/>
        <v>130</v>
      </c>
      <c r="B132" s="17">
        <v>92508</v>
      </c>
      <c r="C132" s="24">
        <v>4439250800</v>
      </c>
      <c r="D132" s="26" t="s">
        <v>221</v>
      </c>
      <c r="E132" s="24" t="s">
        <v>186</v>
      </c>
      <c r="F132" s="33">
        <v>80.37</v>
      </c>
      <c r="G132" s="24">
        <v>443</v>
      </c>
      <c r="H132" s="12">
        <v>0</v>
      </c>
      <c r="I132" s="24">
        <v>0</v>
      </c>
      <c r="J132" s="2">
        <f>L132*1.3</f>
        <v>35.238944000000004</v>
      </c>
      <c r="K132" s="21" t="s">
        <v>91</v>
      </c>
      <c r="L132" s="2">
        <v>27.10688</v>
      </c>
      <c r="M132" s="2">
        <v>20.666832000000003</v>
      </c>
      <c r="N132" s="2" t="str">
        <f>CONCATENATE(ROUND(25.35*1.8,2)," ",K132)</f>
        <v xml:space="preserve">45.63 Per Visit </v>
      </c>
      <c r="O132" s="2" t="str">
        <f t="shared" si="176"/>
        <v xml:space="preserve">27.11 Per Visit </v>
      </c>
      <c r="P132" s="1" t="s">
        <v>188</v>
      </c>
      <c r="Q132" s="2" t="str">
        <f t="shared" si="177"/>
        <v xml:space="preserve">27.11 Per Visit </v>
      </c>
      <c r="R132" s="2" t="str">
        <f t="shared" si="178"/>
        <v xml:space="preserve">29.82 Per Visit </v>
      </c>
      <c r="S132" s="2" t="str">
        <f t="shared" si="179"/>
        <v xml:space="preserve">27.11 Per Visit </v>
      </c>
      <c r="T132" s="1" t="s">
        <v>413</v>
      </c>
      <c r="U132" s="1"/>
      <c r="V132" s="1" t="s">
        <v>412</v>
      </c>
      <c r="W132" s="2" t="str">
        <f t="shared" si="180"/>
        <v xml:space="preserve">27.11 Per Visit </v>
      </c>
      <c r="X132" s="2" t="str">
        <f t="shared" si="181"/>
        <v xml:space="preserve">27.11 Per Visit </v>
      </c>
      <c r="Y132" s="2" t="str">
        <f t="shared" si="182"/>
        <v xml:space="preserve">27.11 Per Visit </v>
      </c>
      <c r="Z132" s="1" t="s">
        <v>189</v>
      </c>
      <c r="AA132" s="2" t="str">
        <f t="shared" si="183"/>
        <v xml:space="preserve">25.75 Per Visit </v>
      </c>
      <c r="AB132" s="2" t="str">
        <f t="shared" si="184"/>
        <v xml:space="preserve">25.75 Per Visit </v>
      </c>
      <c r="AC132" s="2" t="str">
        <f t="shared" si="185"/>
        <v xml:space="preserve">27.11 Per Visit </v>
      </c>
      <c r="AD132" s="2" t="str">
        <f t="shared" si="186"/>
        <v xml:space="preserve">28.46 Per Visit </v>
      </c>
      <c r="AE132" s="2" t="str">
        <f t="shared" si="187"/>
        <v xml:space="preserve">27.11 Per Visit </v>
      </c>
      <c r="AF132" s="2" t="str">
        <f t="shared" si="188"/>
        <v xml:space="preserve">27.11 Per Visit </v>
      </c>
      <c r="AG132" s="2" t="str">
        <f t="shared" si="189"/>
        <v xml:space="preserve">24.94 Per Visit </v>
      </c>
      <c r="AH132" s="2">
        <f t="shared" si="202"/>
        <v>56.259</v>
      </c>
      <c r="AI132" s="1" t="s">
        <v>196</v>
      </c>
      <c r="AJ132" s="1" t="s">
        <v>190</v>
      </c>
      <c r="AK132" s="1" t="s">
        <v>191</v>
      </c>
      <c r="AL132" s="2" t="str">
        <f t="shared" si="191"/>
        <v xml:space="preserve">27.11 Per Visit </v>
      </c>
      <c r="AM132" s="2" t="str">
        <f t="shared" si="192"/>
        <v xml:space="preserve">27.11 Per Visit </v>
      </c>
      <c r="AN132" s="1" t="s">
        <v>192</v>
      </c>
      <c r="AO132" s="1" t="s">
        <v>192</v>
      </c>
      <c r="AP132" s="1" t="s">
        <v>193</v>
      </c>
      <c r="AQ132" s="1" t="s">
        <v>194</v>
      </c>
      <c r="AR132" s="1" t="s">
        <v>63</v>
      </c>
      <c r="AS132" s="1" t="s">
        <v>195</v>
      </c>
      <c r="AT132" s="1" t="s">
        <v>195</v>
      </c>
      <c r="AU132" s="1">
        <v>158.3634375</v>
      </c>
      <c r="AV132" s="2" t="str">
        <f>CONCATENATE(ROUND(M132*1.1,2)," ",K132)</f>
        <v xml:space="preserve">22.73 Per Visit </v>
      </c>
      <c r="AW132" s="2" t="str">
        <f t="shared" si="194"/>
        <v xml:space="preserve">27.11 Per Visit </v>
      </c>
      <c r="AX132" s="2" t="str">
        <f t="shared" si="195"/>
        <v xml:space="preserve">25.75 Per Visit </v>
      </c>
      <c r="AY132" s="2" t="str">
        <f t="shared" si="196"/>
        <v xml:space="preserve">23.85 Per Visit </v>
      </c>
      <c r="AZ132" s="2" t="s">
        <v>196</v>
      </c>
      <c r="BA132" s="1" t="s">
        <v>198</v>
      </c>
      <c r="BB132" s="1" t="s">
        <v>198</v>
      </c>
      <c r="BC132" s="2">
        <v>0</v>
      </c>
      <c r="BD132" s="2">
        <v>0</v>
      </c>
      <c r="BE132" s="2">
        <v>0</v>
      </c>
      <c r="BF132" s="1" t="s">
        <v>199</v>
      </c>
      <c r="BG132" s="2" t="str">
        <f t="shared" si="197"/>
        <v xml:space="preserve">27.11 Per Visit </v>
      </c>
      <c r="BH132" s="2" t="str">
        <f t="shared" si="198"/>
        <v xml:space="preserve">25.75 Per Visit </v>
      </c>
      <c r="BI132" s="1" t="s">
        <v>63</v>
      </c>
      <c r="BJ132" s="1" t="s">
        <v>63</v>
      </c>
      <c r="BK132" s="2" t="str">
        <f t="shared" si="199"/>
        <v xml:space="preserve">25.75 Per Visit </v>
      </c>
      <c r="BL132" s="2" t="str">
        <f t="shared" si="200"/>
        <v xml:space="preserve">27.11 Per Visit </v>
      </c>
      <c r="BM132" s="1" t="s">
        <v>200</v>
      </c>
      <c r="BN132" s="1" t="s">
        <v>198</v>
      </c>
      <c r="BO132" s="2" t="str">
        <f>AY132</f>
        <v xml:space="preserve">23.85 Per Visit </v>
      </c>
      <c r="BP132" s="2" t="s">
        <v>201</v>
      </c>
      <c r="BQ132" s="22"/>
    </row>
    <row r="133" spans="1:69" ht="20.100000000000001" customHeight="1" x14ac:dyDescent="0.2">
      <c r="A133" s="17">
        <f t="shared" si="128"/>
        <v>131</v>
      </c>
      <c r="B133" s="18">
        <v>92523</v>
      </c>
      <c r="C133" s="24">
        <v>4449252300</v>
      </c>
      <c r="D133" s="19" t="s">
        <v>222</v>
      </c>
      <c r="E133" s="24" t="s">
        <v>186</v>
      </c>
      <c r="F133" s="33">
        <v>758.64</v>
      </c>
      <c r="G133" s="18">
        <v>444</v>
      </c>
      <c r="H133" s="12">
        <v>0</v>
      </c>
      <c r="I133" s="24">
        <v>0</v>
      </c>
      <c r="J133" s="2">
        <v>150</v>
      </c>
      <c r="K133" s="21" t="s">
        <v>91</v>
      </c>
      <c r="L133" s="2">
        <v>261.24408</v>
      </c>
      <c r="M133" s="2">
        <v>130.74975400000002</v>
      </c>
      <c r="N133" s="2" t="str">
        <f>CONCATENATE(ROUND(174.09*1.8,2)," ",K133)</f>
        <v xml:space="preserve">313.36 Per Visit </v>
      </c>
      <c r="O133" s="2" t="str">
        <f t="shared" si="176"/>
        <v xml:space="preserve">261.24 Per Visit </v>
      </c>
      <c r="P133" s="1" t="s">
        <v>188</v>
      </c>
      <c r="Q133" s="2" t="str">
        <f t="shared" si="177"/>
        <v xml:space="preserve">261.24 Per Visit </v>
      </c>
      <c r="R133" s="2" t="str">
        <f t="shared" si="178"/>
        <v xml:space="preserve">287.37 Per Visit </v>
      </c>
      <c r="S133" s="2" t="str">
        <f t="shared" si="179"/>
        <v xml:space="preserve">261.24 Per Visit </v>
      </c>
      <c r="T133" s="1" t="s">
        <v>413</v>
      </c>
      <c r="U133" s="1"/>
      <c r="V133" s="1" t="s">
        <v>412</v>
      </c>
      <c r="W133" s="2" t="str">
        <f t="shared" si="180"/>
        <v xml:space="preserve">261.24 Per Visit </v>
      </c>
      <c r="X133" s="2" t="str">
        <f t="shared" si="181"/>
        <v xml:space="preserve">261.24 Per Visit </v>
      </c>
      <c r="Y133" s="2" t="str">
        <f t="shared" si="182"/>
        <v xml:space="preserve">261.24 Per Visit </v>
      </c>
      <c r="Z133" s="1" t="s">
        <v>189</v>
      </c>
      <c r="AA133" s="2" t="str">
        <f t="shared" si="183"/>
        <v xml:space="preserve">248.18 Per Visit </v>
      </c>
      <c r="AB133" s="2" t="str">
        <f t="shared" si="184"/>
        <v xml:space="preserve">248.18 Per Visit </v>
      </c>
      <c r="AC133" s="2" t="str">
        <f t="shared" si="185"/>
        <v xml:space="preserve">261.24 Per Visit </v>
      </c>
      <c r="AD133" s="2" t="str">
        <f t="shared" si="186"/>
        <v xml:space="preserve">274.31 Per Visit </v>
      </c>
      <c r="AE133" s="2" t="str">
        <f t="shared" si="187"/>
        <v xml:space="preserve">261.24 Per Visit </v>
      </c>
      <c r="AF133" s="2" t="str">
        <f t="shared" si="188"/>
        <v xml:space="preserve">261.24 Per Visit </v>
      </c>
      <c r="AG133" s="2" t="str">
        <f t="shared" si="189"/>
        <v xml:space="preserve">240.34 Per Visit </v>
      </c>
      <c r="AH133" s="2">
        <f t="shared" si="202"/>
        <v>531.048</v>
      </c>
      <c r="AI133" s="1" t="s">
        <v>196</v>
      </c>
      <c r="AJ133" s="1" t="s">
        <v>190</v>
      </c>
      <c r="AK133" s="1" t="s">
        <v>191</v>
      </c>
      <c r="AL133" s="2" t="str">
        <f t="shared" si="191"/>
        <v xml:space="preserve">261.24 Per Visit </v>
      </c>
      <c r="AM133" s="2" t="str">
        <f t="shared" si="192"/>
        <v xml:space="preserve">261.24 Per Visit </v>
      </c>
      <c r="AN133" s="1" t="s">
        <v>192</v>
      </c>
      <c r="AO133" s="1" t="s">
        <v>192</v>
      </c>
      <c r="AP133" s="1" t="s">
        <v>193</v>
      </c>
      <c r="AQ133" s="1" t="s">
        <v>194</v>
      </c>
      <c r="AR133" s="1" t="s">
        <v>63</v>
      </c>
      <c r="AS133" s="1" t="s">
        <v>195</v>
      </c>
      <c r="AT133" s="1" t="s">
        <v>195</v>
      </c>
      <c r="AU133" s="1">
        <v>158.3634375</v>
      </c>
      <c r="AV133" s="2" t="str">
        <f>CONCATENATE(ROUND(M133*1.1,2)," ",K133)</f>
        <v xml:space="preserve">143.82 Per Visit </v>
      </c>
      <c r="AW133" s="2" t="str">
        <f t="shared" si="194"/>
        <v xml:space="preserve">261.24 Per Visit </v>
      </c>
      <c r="AX133" s="2" t="str">
        <f t="shared" si="195"/>
        <v xml:space="preserve">248.18 Per Visit </v>
      </c>
      <c r="AY133" s="2" t="str">
        <f t="shared" si="196"/>
        <v xml:space="preserve">229.89 Per Visit </v>
      </c>
      <c r="AZ133" s="2" t="s">
        <v>196</v>
      </c>
      <c r="BA133" s="1" t="s">
        <v>198</v>
      </c>
      <c r="BB133" s="1" t="s">
        <v>198</v>
      </c>
      <c r="BC133" s="2">
        <v>0</v>
      </c>
      <c r="BD133" s="2">
        <v>0</v>
      </c>
      <c r="BE133" s="2">
        <v>0</v>
      </c>
      <c r="BF133" s="1" t="s">
        <v>199</v>
      </c>
      <c r="BG133" s="2" t="str">
        <f t="shared" si="197"/>
        <v xml:space="preserve">261.24 Per Visit </v>
      </c>
      <c r="BH133" s="2" t="str">
        <f t="shared" si="198"/>
        <v xml:space="preserve">248.18 Per Visit </v>
      </c>
      <c r="BI133" s="1" t="s">
        <v>63</v>
      </c>
      <c r="BJ133" s="1" t="s">
        <v>63</v>
      </c>
      <c r="BK133" s="2" t="str">
        <f t="shared" si="199"/>
        <v xml:space="preserve">248.18 Per Visit </v>
      </c>
      <c r="BL133" s="2" t="str">
        <f t="shared" si="200"/>
        <v xml:space="preserve">261.24 Per Visit </v>
      </c>
      <c r="BM133" s="1" t="s">
        <v>200</v>
      </c>
      <c r="BN133" s="1" t="s">
        <v>198</v>
      </c>
      <c r="BO133" s="2" t="str">
        <f>AV133</f>
        <v xml:space="preserve">143.82 Per Visit </v>
      </c>
      <c r="BP133" s="2" t="str">
        <f>N133</f>
        <v xml:space="preserve">313.36 Per Visit </v>
      </c>
      <c r="BQ133" s="22"/>
    </row>
    <row r="134" spans="1:69" ht="20.100000000000001" customHeight="1" x14ac:dyDescent="0.2">
      <c r="A134" s="17">
        <f t="shared" si="128"/>
        <v>132</v>
      </c>
      <c r="B134" s="18">
        <v>97033</v>
      </c>
      <c r="C134" s="24">
        <v>4209703300</v>
      </c>
      <c r="D134" s="26" t="s">
        <v>223</v>
      </c>
      <c r="E134" s="24" t="s">
        <v>186</v>
      </c>
      <c r="F134" s="33">
        <v>66.900000000000006</v>
      </c>
      <c r="G134" s="18">
        <v>420</v>
      </c>
      <c r="H134" s="12">
        <v>0</v>
      </c>
      <c r="I134" s="24">
        <v>0</v>
      </c>
      <c r="J134" s="2">
        <f>L134*1.3</f>
        <v>30.233112000000002</v>
      </c>
      <c r="K134" s="21" t="s">
        <v>91</v>
      </c>
      <c r="L134" s="2">
        <v>23.256240000000002</v>
      </c>
      <c r="M134" s="2">
        <v>9.1919339999999998</v>
      </c>
      <c r="N134" s="2" t="str">
        <f>CONCATENATE(ROUND(21.21*1.8,2)," ",K134)</f>
        <v xml:space="preserve">38.18 Per Visit </v>
      </c>
      <c r="O134" s="2" t="str">
        <f t="shared" si="176"/>
        <v xml:space="preserve">23.26 Per Visit </v>
      </c>
      <c r="P134" s="1" t="s">
        <v>188</v>
      </c>
      <c r="Q134" s="2" t="str">
        <f t="shared" si="177"/>
        <v xml:space="preserve">23.26 Per Visit </v>
      </c>
      <c r="R134" s="2" t="str">
        <f t="shared" si="178"/>
        <v xml:space="preserve">25.58 Per Visit </v>
      </c>
      <c r="S134" s="2" t="str">
        <f t="shared" si="179"/>
        <v xml:space="preserve">23.26 Per Visit </v>
      </c>
      <c r="T134" s="1" t="s">
        <v>413</v>
      </c>
      <c r="U134" s="1"/>
      <c r="V134" s="1" t="s">
        <v>412</v>
      </c>
      <c r="W134" s="2" t="str">
        <f t="shared" si="180"/>
        <v xml:space="preserve">23.26 Per Visit </v>
      </c>
      <c r="X134" s="2" t="str">
        <f t="shared" si="181"/>
        <v xml:space="preserve">23.26 Per Visit </v>
      </c>
      <c r="Y134" s="2" t="str">
        <f t="shared" si="182"/>
        <v xml:space="preserve">23.26 Per Visit </v>
      </c>
      <c r="Z134" s="1" t="s">
        <v>189</v>
      </c>
      <c r="AA134" s="2" t="str">
        <f t="shared" si="183"/>
        <v xml:space="preserve">22.09 Per Visit </v>
      </c>
      <c r="AB134" s="2" t="str">
        <f t="shared" si="184"/>
        <v xml:space="preserve">22.09 Per Visit </v>
      </c>
      <c r="AC134" s="2" t="str">
        <f t="shared" si="185"/>
        <v xml:space="preserve">23.26 Per Visit </v>
      </c>
      <c r="AD134" s="2" t="str">
        <f t="shared" si="186"/>
        <v xml:space="preserve">24.42 Per Visit </v>
      </c>
      <c r="AE134" s="2" t="str">
        <f t="shared" si="187"/>
        <v xml:space="preserve">23.26 Per Visit </v>
      </c>
      <c r="AF134" s="2" t="str">
        <f t="shared" si="188"/>
        <v xml:space="preserve">23.26 Per Visit </v>
      </c>
      <c r="AG134" s="2" t="str">
        <f t="shared" si="189"/>
        <v xml:space="preserve">21.4 Per Visit </v>
      </c>
      <c r="AH134" s="2">
        <f t="shared" si="202"/>
        <v>46.83</v>
      </c>
      <c r="AI134" s="1" t="s">
        <v>196</v>
      </c>
      <c r="AJ134" s="1" t="s">
        <v>190</v>
      </c>
      <c r="AK134" s="1" t="s">
        <v>191</v>
      </c>
      <c r="AL134" s="2" t="str">
        <f t="shared" si="191"/>
        <v xml:space="preserve">23.26 Per Visit </v>
      </c>
      <c r="AM134" s="2" t="str">
        <f t="shared" si="192"/>
        <v xml:space="preserve">23.26 Per Visit </v>
      </c>
      <c r="AN134" s="1" t="s">
        <v>192</v>
      </c>
      <c r="AO134" s="1" t="s">
        <v>192</v>
      </c>
      <c r="AP134" s="1" t="s">
        <v>193</v>
      </c>
      <c r="AQ134" s="1" t="s">
        <v>194</v>
      </c>
      <c r="AR134" s="1" t="s">
        <v>63</v>
      </c>
      <c r="AS134" s="1" t="s">
        <v>195</v>
      </c>
      <c r="AT134" s="1" t="s">
        <v>195</v>
      </c>
      <c r="AU134" s="1">
        <v>158.3634375</v>
      </c>
      <c r="AV134" s="2" t="str">
        <f>CONCATENATE(ROUND(M134*1.1,2)," ",K134)</f>
        <v xml:space="preserve">10.11 Per Visit </v>
      </c>
      <c r="AW134" s="2" t="str">
        <f t="shared" si="194"/>
        <v xml:space="preserve">23.26 Per Visit </v>
      </c>
      <c r="AX134" s="2" t="str">
        <f t="shared" si="195"/>
        <v xml:space="preserve">22.09 Per Visit </v>
      </c>
      <c r="AY134" s="2" t="str">
        <f t="shared" si="196"/>
        <v xml:space="preserve">20.47 Per Visit </v>
      </c>
      <c r="AZ134" s="2" t="s">
        <v>196</v>
      </c>
      <c r="BA134" s="1" t="s">
        <v>198</v>
      </c>
      <c r="BB134" s="1" t="s">
        <v>198</v>
      </c>
      <c r="BC134" s="2">
        <v>0</v>
      </c>
      <c r="BD134" s="2">
        <v>0</v>
      </c>
      <c r="BE134" s="2">
        <v>0</v>
      </c>
      <c r="BF134" s="1" t="s">
        <v>199</v>
      </c>
      <c r="BG134" s="2" t="str">
        <f t="shared" si="197"/>
        <v xml:space="preserve">23.26 Per Visit </v>
      </c>
      <c r="BH134" s="2" t="str">
        <f t="shared" si="198"/>
        <v xml:space="preserve">22.09 Per Visit </v>
      </c>
      <c r="BI134" s="1" t="s">
        <v>63</v>
      </c>
      <c r="BJ134" s="1" t="s">
        <v>63</v>
      </c>
      <c r="BK134" s="2" t="str">
        <f t="shared" si="199"/>
        <v xml:space="preserve">22.09 Per Visit </v>
      </c>
      <c r="BL134" s="2" t="str">
        <f t="shared" si="200"/>
        <v xml:space="preserve">23.26 Per Visit </v>
      </c>
      <c r="BM134" s="1" t="s">
        <v>200</v>
      </c>
      <c r="BN134" s="1" t="s">
        <v>198</v>
      </c>
      <c r="BO134" s="2" t="str">
        <f>AV134</f>
        <v xml:space="preserve">10.11 Per Visit </v>
      </c>
      <c r="BP134" s="2" t="s">
        <v>201</v>
      </c>
      <c r="BQ134" s="22"/>
    </row>
    <row r="135" spans="1:69" ht="20.100000000000001" customHeight="1" x14ac:dyDescent="0.2">
      <c r="A135" s="17">
        <f t="shared" si="128"/>
        <v>133</v>
      </c>
      <c r="B135" s="17">
        <v>97167</v>
      </c>
      <c r="C135" s="24">
        <v>4349716700</v>
      </c>
      <c r="D135" s="19" t="s">
        <v>224</v>
      </c>
      <c r="E135" s="24" t="s">
        <v>186</v>
      </c>
      <c r="F135" s="33">
        <v>337.62</v>
      </c>
      <c r="G135" s="24">
        <v>434</v>
      </c>
      <c r="H135" s="12">
        <v>0</v>
      </c>
      <c r="I135" s="24">
        <v>0</v>
      </c>
      <c r="J135" s="2">
        <v>150</v>
      </c>
      <c r="K135" s="21" t="s">
        <v>91</v>
      </c>
      <c r="L135" s="2">
        <v>110.20552000000001</v>
      </c>
      <c r="M135" s="1">
        <v>0</v>
      </c>
      <c r="N135" s="2" t="str">
        <f>CONCATENATE(ROUND(67.17*1.8,2)," ",K135)</f>
        <v xml:space="preserve">120.91 Per Visit </v>
      </c>
      <c r="O135" s="2" t="str">
        <f t="shared" si="176"/>
        <v xml:space="preserve">110.21 Per Visit </v>
      </c>
      <c r="P135" s="1" t="s">
        <v>188</v>
      </c>
      <c r="Q135" s="2" t="str">
        <f t="shared" si="177"/>
        <v xml:space="preserve">110.21 Per Visit </v>
      </c>
      <c r="R135" s="2" t="str">
        <f t="shared" si="178"/>
        <v xml:space="preserve">121.23 Per Visit </v>
      </c>
      <c r="S135" s="2" t="str">
        <f t="shared" si="179"/>
        <v xml:space="preserve">110.21 Per Visit </v>
      </c>
      <c r="T135" s="1" t="s">
        <v>413</v>
      </c>
      <c r="U135" s="1"/>
      <c r="V135" s="1" t="s">
        <v>412</v>
      </c>
      <c r="W135" s="2" t="str">
        <f t="shared" si="180"/>
        <v xml:space="preserve">110.21 Per Visit </v>
      </c>
      <c r="X135" s="2" t="str">
        <f t="shared" si="181"/>
        <v xml:space="preserve">110.21 Per Visit </v>
      </c>
      <c r="Y135" s="2" t="str">
        <f t="shared" si="182"/>
        <v xml:space="preserve">110.21 Per Visit </v>
      </c>
      <c r="Z135" s="1" t="s">
        <v>189</v>
      </c>
      <c r="AA135" s="2" t="str">
        <f t="shared" si="183"/>
        <v xml:space="preserve">104.7 Per Visit </v>
      </c>
      <c r="AB135" s="2" t="str">
        <f t="shared" si="184"/>
        <v xml:space="preserve">104.7 Per Visit </v>
      </c>
      <c r="AC135" s="2" t="str">
        <f t="shared" si="185"/>
        <v xml:space="preserve">110.21 Per Visit </v>
      </c>
      <c r="AD135" s="2" t="str">
        <f t="shared" si="186"/>
        <v xml:space="preserve">115.72 Per Visit </v>
      </c>
      <c r="AE135" s="2" t="str">
        <f t="shared" si="187"/>
        <v xml:space="preserve">110.21 Per Visit </v>
      </c>
      <c r="AF135" s="2" t="str">
        <f t="shared" si="188"/>
        <v xml:space="preserve">110.21 Per Visit </v>
      </c>
      <c r="AG135" s="2" t="str">
        <f t="shared" si="189"/>
        <v xml:space="preserve">101.39 Per Visit </v>
      </c>
      <c r="AH135" s="2">
        <f t="shared" si="202"/>
        <v>236.33399999999997</v>
      </c>
      <c r="AI135" s="1" t="s">
        <v>196</v>
      </c>
      <c r="AJ135" s="1" t="s">
        <v>190</v>
      </c>
      <c r="AK135" s="1" t="s">
        <v>191</v>
      </c>
      <c r="AL135" s="2" t="str">
        <f t="shared" si="191"/>
        <v xml:space="preserve">110.21 Per Visit </v>
      </c>
      <c r="AM135" s="2" t="str">
        <f t="shared" si="192"/>
        <v xml:space="preserve">110.21 Per Visit </v>
      </c>
      <c r="AN135" s="1" t="s">
        <v>192</v>
      </c>
      <c r="AO135" s="1" t="s">
        <v>192</v>
      </c>
      <c r="AP135" s="1" t="s">
        <v>193</v>
      </c>
      <c r="AQ135" s="1" t="s">
        <v>194</v>
      </c>
      <c r="AR135" s="1" t="s">
        <v>63</v>
      </c>
      <c r="AS135" s="1" t="s">
        <v>195</v>
      </c>
      <c r="AT135" s="1" t="s">
        <v>195</v>
      </c>
      <c r="AU135" s="1">
        <v>158.3634375</v>
      </c>
      <c r="AV135" s="1" t="s">
        <v>220</v>
      </c>
      <c r="AW135" s="2" t="str">
        <f t="shared" si="194"/>
        <v xml:space="preserve">110.21 Per Visit </v>
      </c>
      <c r="AX135" s="2" t="str">
        <f t="shared" si="195"/>
        <v xml:space="preserve">104.7 Per Visit </v>
      </c>
      <c r="AY135" s="2" t="str">
        <f t="shared" si="196"/>
        <v xml:space="preserve">96.98 Per Visit </v>
      </c>
      <c r="AZ135" s="2" t="s">
        <v>196</v>
      </c>
      <c r="BA135" s="1" t="s">
        <v>198</v>
      </c>
      <c r="BB135" s="1" t="s">
        <v>198</v>
      </c>
      <c r="BC135" s="2">
        <v>0</v>
      </c>
      <c r="BD135" s="2">
        <v>0</v>
      </c>
      <c r="BE135" s="2">
        <v>0</v>
      </c>
      <c r="BF135" s="1" t="s">
        <v>199</v>
      </c>
      <c r="BG135" s="2" t="str">
        <f t="shared" si="197"/>
        <v xml:space="preserve">110.21 Per Visit </v>
      </c>
      <c r="BH135" s="2" t="str">
        <f t="shared" si="198"/>
        <v xml:space="preserve">104.7 Per Visit </v>
      </c>
      <c r="BI135" s="1" t="s">
        <v>63</v>
      </c>
      <c r="BJ135" s="1" t="s">
        <v>63</v>
      </c>
      <c r="BK135" s="2" t="str">
        <f t="shared" si="199"/>
        <v xml:space="preserve">104.7 Per Visit </v>
      </c>
      <c r="BL135" s="2" t="str">
        <f t="shared" si="200"/>
        <v xml:space="preserve">110.21 Per Visit </v>
      </c>
      <c r="BM135" s="1" t="s">
        <v>200</v>
      </c>
      <c r="BN135" s="1" t="s">
        <v>198</v>
      </c>
      <c r="BO135" s="2" t="str">
        <f>AY135</f>
        <v xml:space="preserve">96.98 Per Visit </v>
      </c>
      <c r="BP135" s="2" t="s">
        <v>201</v>
      </c>
      <c r="BQ135" s="22"/>
    </row>
    <row r="136" spans="1:69" ht="20.100000000000001" customHeight="1" x14ac:dyDescent="0.2">
      <c r="A136" s="17">
        <f t="shared" si="128"/>
        <v>134</v>
      </c>
      <c r="B136" s="17">
        <v>92526</v>
      </c>
      <c r="C136" s="24">
        <v>4409252600</v>
      </c>
      <c r="D136" s="19" t="s">
        <v>225</v>
      </c>
      <c r="E136" s="24" t="s">
        <v>186</v>
      </c>
      <c r="F136" s="33">
        <v>283.83</v>
      </c>
      <c r="G136" s="24">
        <v>440</v>
      </c>
      <c r="H136" s="12">
        <v>0</v>
      </c>
      <c r="I136" s="24">
        <v>0</v>
      </c>
      <c r="J136" s="2">
        <f>L136*1.3</f>
        <v>125.48920800000002</v>
      </c>
      <c r="K136" s="21" t="s">
        <v>91</v>
      </c>
      <c r="L136" s="2">
        <v>96.530160000000009</v>
      </c>
      <c r="M136" s="2">
        <v>33.863966000000005</v>
      </c>
      <c r="N136" s="2" t="str">
        <f>CONCATENATE(ROUND(91.69*1.8,2)," ",K136)</f>
        <v xml:space="preserve">165.04 Per Visit </v>
      </c>
      <c r="O136" s="2" t="str">
        <f t="shared" si="176"/>
        <v xml:space="preserve">96.53 Per Visit </v>
      </c>
      <c r="P136" s="1" t="s">
        <v>188</v>
      </c>
      <c r="Q136" s="2" t="str">
        <f t="shared" si="177"/>
        <v xml:space="preserve">96.53 Per Visit </v>
      </c>
      <c r="R136" s="2" t="str">
        <f t="shared" si="178"/>
        <v xml:space="preserve">106.18 Per Visit </v>
      </c>
      <c r="S136" s="2" t="str">
        <f t="shared" si="179"/>
        <v xml:space="preserve">96.53 Per Visit </v>
      </c>
      <c r="T136" s="1" t="s">
        <v>413</v>
      </c>
      <c r="U136" s="1"/>
      <c r="V136" s="1" t="s">
        <v>412</v>
      </c>
      <c r="W136" s="2" t="str">
        <f t="shared" si="180"/>
        <v xml:space="preserve">96.53 Per Visit </v>
      </c>
      <c r="X136" s="2" t="str">
        <f t="shared" si="181"/>
        <v xml:space="preserve">96.53 Per Visit </v>
      </c>
      <c r="Y136" s="2" t="str">
        <f t="shared" si="182"/>
        <v xml:space="preserve">96.53 Per Visit </v>
      </c>
      <c r="Z136" s="1" t="s">
        <v>189</v>
      </c>
      <c r="AA136" s="2" t="str">
        <f t="shared" si="183"/>
        <v xml:space="preserve">91.7 Per Visit </v>
      </c>
      <c r="AB136" s="2" t="str">
        <f t="shared" si="184"/>
        <v xml:space="preserve">91.7 Per Visit </v>
      </c>
      <c r="AC136" s="2" t="str">
        <f t="shared" si="185"/>
        <v xml:space="preserve">96.53 Per Visit </v>
      </c>
      <c r="AD136" s="2" t="str">
        <f t="shared" si="186"/>
        <v xml:space="preserve">101.36 Per Visit </v>
      </c>
      <c r="AE136" s="2" t="str">
        <f t="shared" si="187"/>
        <v xml:space="preserve">96.53 Per Visit </v>
      </c>
      <c r="AF136" s="2" t="str">
        <f t="shared" si="188"/>
        <v xml:space="preserve">96.53 Per Visit </v>
      </c>
      <c r="AG136" s="2" t="str">
        <f t="shared" si="189"/>
        <v xml:space="preserve">88.81 Per Visit </v>
      </c>
      <c r="AH136" s="2">
        <f t="shared" si="202"/>
        <v>198.68099999999998</v>
      </c>
      <c r="AI136" s="1" t="s">
        <v>196</v>
      </c>
      <c r="AJ136" s="1" t="s">
        <v>190</v>
      </c>
      <c r="AK136" s="1" t="s">
        <v>191</v>
      </c>
      <c r="AL136" s="2" t="str">
        <f t="shared" si="191"/>
        <v xml:space="preserve">96.53 Per Visit </v>
      </c>
      <c r="AM136" s="2" t="str">
        <f t="shared" si="192"/>
        <v xml:space="preserve">96.53 Per Visit </v>
      </c>
      <c r="AN136" s="1" t="s">
        <v>192</v>
      </c>
      <c r="AO136" s="1" t="s">
        <v>192</v>
      </c>
      <c r="AP136" s="1" t="s">
        <v>193</v>
      </c>
      <c r="AQ136" s="1" t="s">
        <v>194</v>
      </c>
      <c r="AR136" s="1" t="s">
        <v>63</v>
      </c>
      <c r="AS136" s="1" t="s">
        <v>195</v>
      </c>
      <c r="AT136" s="1" t="s">
        <v>195</v>
      </c>
      <c r="AU136" s="1">
        <v>158.3634375</v>
      </c>
      <c r="AV136" s="2" t="str">
        <f>CONCATENATE(ROUND(M136*1.1,2)," ",K136)</f>
        <v xml:space="preserve">37.25 Per Visit </v>
      </c>
      <c r="AW136" s="2" t="str">
        <f t="shared" si="194"/>
        <v xml:space="preserve">96.53 Per Visit </v>
      </c>
      <c r="AX136" s="2" t="str">
        <f t="shared" si="195"/>
        <v xml:space="preserve">91.7 Per Visit </v>
      </c>
      <c r="AY136" s="2" t="str">
        <f t="shared" si="196"/>
        <v xml:space="preserve">84.95 Per Visit </v>
      </c>
      <c r="AZ136" s="2" t="s">
        <v>196</v>
      </c>
      <c r="BA136" s="1" t="s">
        <v>198</v>
      </c>
      <c r="BB136" s="1" t="s">
        <v>198</v>
      </c>
      <c r="BC136" s="2">
        <v>0</v>
      </c>
      <c r="BD136" s="2">
        <v>0</v>
      </c>
      <c r="BE136" s="2">
        <v>0</v>
      </c>
      <c r="BF136" s="1" t="s">
        <v>199</v>
      </c>
      <c r="BG136" s="2" t="str">
        <f t="shared" si="197"/>
        <v xml:space="preserve">96.53 Per Visit </v>
      </c>
      <c r="BH136" s="2" t="str">
        <f t="shared" si="198"/>
        <v xml:space="preserve">91.7 Per Visit </v>
      </c>
      <c r="BI136" s="1" t="s">
        <v>63</v>
      </c>
      <c r="BJ136" s="1" t="s">
        <v>63</v>
      </c>
      <c r="BK136" s="2" t="str">
        <f t="shared" si="199"/>
        <v xml:space="preserve">91.7 Per Visit </v>
      </c>
      <c r="BL136" s="2" t="str">
        <f t="shared" si="200"/>
        <v xml:space="preserve">96.53 Per Visit </v>
      </c>
      <c r="BM136" s="1" t="s">
        <v>200</v>
      </c>
      <c r="BN136" s="1" t="s">
        <v>198</v>
      </c>
      <c r="BO136" s="2" t="str">
        <f>AV136</f>
        <v xml:space="preserve">37.25 Per Visit </v>
      </c>
      <c r="BP136" s="2">
        <f>AH136</f>
        <v>198.68099999999998</v>
      </c>
      <c r="BQ136" s="22"/>
    </row>
    <row r="137" spans="1:69" ht="20.100000000000001" customHeight="1" x14ac:dyDescent="0.2">
      <c r="A137" s="17">
        <f t="shared" si="128"/>
        <v>135</v>
      </c>
      <c r="B137" s="17">
        <v>97165</v>
      </c>
      <c r="C137" s="24">
        <v>4349716500</v>
      </c>
      <c r="D137" s="19" t="s">
        <v>226</v>
      </c>
      <c r="E137" s="24" t="s">
        <v>186</v>
      </c>
      <c r="F137" s="33">
        <v>337.62</v>
      </c>
      <c r="G137" s="24">
        <v>434</v>
      </c>
      <c r="H137" s="12">
        <v>0</v>
      </c>
      <c r="I137" s="24">
        <v>0</v>
      </c>
      <c r="J137" s="2">
        <v>150</v>
      </c>
      <c r="K137" s="21" t="s">
        <v>91</v>
      </c>
      <c r="L137" s="2">
        <v>110.20552000000001</v>
      </c>
      <c r="M137" s="1">
        <v>0</v>
      </c>
      <c r="N137" s="2" t="str">
        <f>CONCATENATE(ROUND(67.17*1.8,2)," ",K137)</f>
        <v xml:space="preserve">120.91 Per Visit </v>
      </c>
      <c r="O137" s="2" t="str">
        <f t="shared" si="176"/>
        <v xml:space="preserve">110.21 Per Visit </v>
      </c>
      <c r="P137" s="1" t="s">
        <v>188</v>
      </c>
      <c r="Q137" s="2" t="str">
        <f t="shared" si="177"/>
        <v xml:space="preserve">110.21 Per Visit </v>
      </c>
      <c r="R137" s="2" t="str">
        <f t="shared" si="178"/>
        <v xml:space="preserve">121.23 Per Visit </v>
      </c>
      <c r="S137" s="2" t="str">
        <f t="shared" si="179"/>
        <v xml:space="preserve">110.21 Per Visit </v>
      </c>
      <c r="T137" s="1" t="s">
        <v>413</v>
      </c>
      <c r="U137" s="1"/>
      <c r="V137" s="1" t="s">
        <v>412</v>
      </c>
      <c r="W137" s="2" t="str">
        <f t="shared" si="180"/>
        <v xml:space="preserve">110.21 Per Visit </v>
      </c>
      <c r="X137" s="2" t="str">
        <f t="shared" si="181"/>
        <v xml:space="preserve">110.21 Per Visit </v>
      </c>
      <c r="Y137" s="2" t="str">
        <f t="shared" si="182"/>
        <v xml:space="preserve">110.21 Per Visit </v>
      </c>
      <c r="Z137" s="1" t="s">
        <v>189</v>
      </c>
      <c r="AA137" s="2" t="str">
        <f t="shared" si="183"/>
        <v xml:space="preserve">104.7 Per Visit </v>
      </c>
      <c r="AB137" s="2" t="str">
        <f t="shared" si="184"/>
        <v xml:space="preserve">104.7 Per Visit </v>
      </c>
      <c r="AC137" s="2" t="str">
        <f t="shared" si="185"/>
        <v xml:space="preserve">110.21 Per Visit </v>
      </c>
      <c r="AD137" s="2" t="str">
        <f t="shared" si="186"/>
        <v xml:space="preserve">115.72 Per Visit </v>
      </c>
      <c r="AE137" s="2" t="str">
        <f t="shared" si="187"/>
        <v xml:space="preserve">110.21 Per Visit </v>
      </c>
      <c r="AF137" s="2" t="str">
        <f t="shared" si="188"/>
        <v xml:space="preserve">110.21 Per Visit </v>
      </c>
      <c r="AG137" s="2" t="str">
        <f t="shared" si="189"/>
        <v xml:space="preserve">101.39 Per Visit </v>
      </c>
      <c r="AH137" s="2">
        <f t="shared" si="202"/>
        <v>236.33399999999997</v>
      </c>
      <c r="AI137" s="1" t="s">
        <v>196</v>
      </c>
      <c r="AJ137" s="1" t="s">
        <v>190</v>
      </c>
      <c r="AK137" s="1" t="s">
        <v>191</v>
      </c>
      <c r="AL137" s="2" t="str">
        <f t="shared" si="191"/>
        <v xml:space="preserve">110.21 Per Visit </v>
      </c>
      <c r="AM137" s="2" t="str">
        <f t="shared" si="192"/>
        <v xml:space="preserve">110.21 Per Visit </v>
      </c>
      <c r="AN137" s="1" t="s">
        <v>192</v>
      </c>
      <c r="AO137" s="1" t="s">
        <v>192</v>
      </c>
      <c r="AP137" s="1" t="s">
        <v>193</v>
      </c>
      <c r="AQ137" s="1" t="s">
        <v>194</v>
      </c>
      <c r="AR137" s="1" t="s">
        <v>63</v>
      </c>
      <c r="AS137" s="1" t="s">
        <v>195</v>
      </c>
      <c r="AT137" s="1" t="s">
        <v>195</v>
      </c>
      <c r="AU137" s="1">
        <v>158.3634375</v>
      </c>
      <c r="AV137" s="1" t="s">
        <v>220</v>
      </c>
      <c r="AW137" s="2" t="str">
        <f t="shared" si="194"/>
        <v xml:space="preserve">110.21 Per Visit </v>
      </c>
      <c r="AX137" s="2" t="str">
        <f t="shared" si="195"/>
        <v xml:space="preserve">104.7 Per Visit </v>
      </c>
      <c r="AY137" s="2" t="str">
        <f t="shared" si="196"/>
        <v xml:space="preserve">96.98 Per Visit </v>
      </c>
      <c r="AZ137" s="2" t="s">
        <v>196</v>
      </c>
      <c r="BA137" s="1" t="s">
        <v>198</v>
      </c>
      <c r="BB137" s="1" t="s">
        <v>198</v>
      </c>
      <c r="BC137" s="2">
        <v>0</v>
      </c>
      <c r="BD137" s="2">
        <v>0</v>
      </c>
      <c r="BE137" s="2">
        <v>0</v>
      </c>
      <c r="BF137" s="1" t="s">
        <v>199</v>
      </c>
      <c r="BG137" s="2" t="str">
        <f t="shared" si="197"/>
        <v xml:space="preserve">110.21 Per Visit </v>
      </c>
      <c r="BH137" s="2" t="str">
        <f t="shared" si="198"/>
        <v xml:space="preserve">104.7 Per Visit </v>
      </c>
      <c r="BI137" s="1" t="s">
        <v>63</v>
      </c>
      <c r="BJ137" s="1" t="s">
        <v>63</v>
      </c>
      <c r="BK137" s="2" t="str">
        <f t="shared" si="199"/>
        <v xml:space="preserve">104.7 Per Visit </v>
      </c>
      <c r="BL137" s="2" t="str">
        <f t="shared" si="200"/>
        <v xml:space="preserve">110.21 Per Visit </v>
      </c>
      <c r="BM137" s="1" t="s">
        <v>200</v>
      </c>
      <c r="BN137" s="1" t="s">
        <v>198</v>
      </c>
      <c r="BO137" s="2" t="str">
        <f>AY137</f>
        <v xml:space="preserve">96.98 Per Visit </v>
      </c>
      <c r="BP137" s="2" t="s">
        <v>201</v>
      </c>
      <c r="BQ137" s="22"/>
    </row>
    <row r="138" spans="1:69" ht="20.100000000000001" customHeight="1" x14ac:dyDescent="0.2">
      <c r="A138" s="17">
        <f t="shared" si="128"/>
        <v>136</v>
      </c>
      <c r="B138" s="17">
        <v>95851</v>
      </c>
      <c r="C138" s="24">
        <v>4209585100</v>
      </c>
      <c r="D138" s="19" t="s">
        <v>227</v>
      </c>
      <c r="E138" s="24" t="s">
        <v>186</v>
      </c>
      <c r="F138" s="33">
        <v>73.14</v>
      </c>
      <c r="G138" s="24">
        <v>420</v>
      </c>
      <c r="H138" s="12">
        <v>0</v>
      </c>
      <c r="I138" s="24">
        <v>0</v>
      </c>
      <c r="J138" s="1">
        <f>L138*1.3</f>
        <v>10.606024</v>
      </c>
      <c r="K138" s="17" t="s">
        <v>91</v>
      </c>
      <c r="L138" s="2">
        <v>8.1584799999999991</v>
      </c>
      <c r="M138" s="1">
        <v>18.143556000000004</v>
      </c>
      <c r="N138" s="2" t="str">
        <f>CONCATENATE(ROUND(7.27*1.8,2)," ",K138)</f>
        <v xml:space="preserve">13.09 Per Visit </v>
      </c>
      <c r="O138" s="2" t="str">
        <f t="shared" si="176"/>
        <v xml:space="preserve">8.16 Per Visit </v>
      </c>
      <c r="P138" s="1" t="s">
        <v>188</v>
      </c>
      <c r="Q138" s="2" t="str">
        <f t="shared" si="177"/>
        <v xml:space="preserve">8.16 Per Visit </v>
      </c>
      <c r="R138" s="2" t="str">
        <f t="shared" si="178"/>
        <v xml:space="preserve">8.97 Per Visit </v>
      </c>
      <c r="S138" s="2" t="str">
        <f t="shared" si="179"/>
        <v xml:space="preserve">8.16 Per Visit </v>
      </c>
      <c r="T138" s="1" t="s">
        <v>413</v>
      </c>
      <c r="U138" s="1"/>
      <c r="V138" s="1" t="s">
        <v>412</v>
      </c>
      <c r="W138" s="2" t="str">
        <f t="shared" si="180"/>
        <v xml:space="preserve">8.16 Per Visit </v>
      </c>
      <c r="X138" s="2" t="str">
        <f t="shared" si="181"/>
        <v xml:space="preserve">8.16 Per Visit </v>
      </c>
      <c r="Y138" s="2" t="str">
        <f t="shared" si="182"/>
        <v xml:space="preserve">8.16 Per Visit </v>
      </c>
      <c r="Z138" s="1" t="s">
        <v>189</v>
      </c>
      <c r="AA138" s="2" t="str">
        <f t="shared" si="183"/>
        <v xml:space="preserve">7.75 Per Visit </v>
      </c>
      <c r="AB138" s="2" t="str">
        <f t="shared" si="184"/>
        <v xml:space="preserve">7.75 Per Visit </v>
      </c>
      <c r="AC138" s="2" t="str">
        <f t="shared" si="185"/>
        <v xml:space="preserve">8.16 Per Visit </v>
      </c>
      <c r="AD138" s="2" t="str">
        <f t="shared" si="186"/>
        <v xml:space="preserve">8.57 Per Visit </v>
      </c>
      <c r="AE138" s="2" t="str">
        <f t="shared" si="187"/>
        <v xml:space="preserve">8.16 Per Visit </v>
      </c>
      <c r="AF138" s="2" t="str">
        <f t="shared" si="188"/>
        <v xml:space="preserve">8.16 Per Visit </v>
      </c>
      <c r="AG138" s="2" t="str">
        <f t="shared" si="189"/>
        <v xml:space="preserve">7.51 Per Visit </v>
      </c>
      <c r="AH138" s="2">
        <f t="shared" si="202"/>
        <v>51.198</v>
      </c>
      <c r="AI138" s="1" t="s">
        <v>196</v>
      </c>
      <c r="AJ138" s="1" t="s">
        <v>190</v>
      </c>
      <c r="AK138" s="1" t="s">
        <v>191</v>
      </c>
      <c r="AL138" s="2" t="str">
        <f t="shared" si="191"/>
        <v xml:space="preserve">8.16 Per Visit </v>
      </c>
      <c r="AM138" s="2" t="str">
        <f t="shared" si="192"/>
        <v xml:space="preserve">8.16 Per Visit </v>
      </c>
      <c r="AN138" s="1" t="s">
        <v>192</v>
      </c>
      <c r="AO138" s="1" t="s">
        <v>192</v>
      </c>
      <c r="AP138" s="1" t="s">
        <v>193</v>
      </c>
      <c r="AQ138" s="1" t="s">
        <v>194</v>
      </c>
      <c r="AR138" s="1" t="s">
        <v>63</v>
      </c>
      <c r="AS138" s="1" t="s">
        <v>195</v>
      </c>
      <c r="AT138" s="1" t="s">
        <v>195</v>
      </c>
      <c r="AU138" s="1">
        <v>158.3634375</v>
      </c>
      <c r="AV138" s="2" t="str">
        <f>CONCATENATE(ROUND(M138*1.1,2)," ",K138)</f>
        <v xml:space="preserve">19.96 Per Visit </v>
      </c>
      <c r="AW138" s="2" t="str">
        <f t="shared" si="194"/>
        <v xml:space="preserve">8.16 Per Visit </v>
      </c>
      <c r="AX138" s="2" t="str">
        <f t="shared" si="195"/>
        <v xml:space="preserve">7.75 Per Visit </v>
      </c>
      <c r="AY138" s="2" t="str">
        <f t="shared" si="196"/>
        <v xml:space="preserve">7.18 Per Visit </v>
      </c>
      <c r="AZ138" s="2" t="s">
        <v>196</v>
      </c>
      <c r="BA138" s="1" t="s">
        <v>198</v>
      </c>
      <c r="BB138" s="1" t="s">
        <v>198</v>
      </c>
      <c r="BC138" s="2">
        <v>0</v>
      </c>
      <c r="BD138" s="2">
        <v>0</v>
      </c>
      <c r="BE138" s="2">
        <v>0</v>
      </c>
      <c r="BF138" s="1" t="s">
        <v>199</v>
      </c>
      <c r="BG138" s="2" t="str">
        <f t="shared" si="197"/>
        <v xml:space="preserve">8.16 Per Visit </v>
      </c>
      <c r="BH138" s="2" t="str">
        <f t="shared" si="198"/>
        <v xml:space="preserve">7.75 Per Visit </v>
      </c>
      <c r="BI138" s="1" t="s">
        <v>63</v>
      </c>
      <c r="BJ138" s="1" t="s">
        <v>63</v>
      </c>
      <c r="BK138" s="2" t="str">
        <f t="shared" si="199"/>
        <v xml:space="preserve">7.75 Per Visit </v>
      </c>
      <c r="BL138" s="2" t="str">
        <f t="shared" si="200"/>
        <v xml:space="preserve">8.16 Per Visit </v>
      </c>
      <c r="BM138" s="1" t="s">
        <v>200</v>
      </c>
      <c r="BN138" s="1" t="s">
        <v>198</v>
      </c>
      <c r="BO138" s="2" t="str">
        <f>AY138</f>
        <v xml:space="preserve">7.18 Per Visit </v>
      </c>
      <c r="BP138" s="2" t="s">
        <v>201</v>
      </c>
      <c r="BQ138" s="22"/>
    </row>
    <row r="139" spans="1:69" ht="20.100000000000001" customHeight="1" x14ac:dyDescent="0.2">
      <c r="A139" s="17">
        <f t="shared" ref="A139:A202" si="203">A138+1</f>
        <v>137</v>
      </c>
      <c r="B139" s="17">
        <v>97755</v>
      </c>
      <c r="C139" s="24">
        <v>4209775500</v>
      </c>
      <c r="D139" s="26" t="s">
        <v>228</v>
      </c>
      <c r="E139" s="24" t="s">
        <v>186</v>
      </c>
      <c r="F139" s="33">
        <v>128.79</v>
      </c>
      <c r="G139" s="24">
        <v>420</v>
      </c>
      <c r="H139" s="12">
        <v>0</v>
      </c>
      <c r="I139" s="24">
        <v>0</v>
      </c>
      <c r="J139" s="2">
        <f>L139*1.3</f>
        <v>56.094376000000004</v>
      </c>
      <c r="K139" s="21" t="s">
        <v>91</v>
      </c>
      <c r="L139" s="2">
        <v>43.149520000000003</v>
      </c>
      <c r="M139" s="1">
        <v>0</v>
      </c>
      <c r="N139" s="2" t="str">
        <f>CONCATENATE(ROUND(24.4*1.8,2)," ",K139)</f>
        <v xml:space="preserve">43.92 Per Visit </v>
      </c>
      <c r="O139" s="2" t="str">
        <f t="shared" si="176"/>
        <v xml:space="preserve">43.15 Per Visit </v>
      </c>
      <c r="P139" s="1" t="s">
        <v>188</v>
      </c>
      <c r="Q139" s="2" t="str">
        <f t="shared" si="177"/>
        <v xml:space="preserve">43.15 Per Visit </v>
      </c>
      <c r="R139" s="2" t="str">
        <f t="shared" si="178"/>
        <v xml:space="preserve">47.46 Per Visit </v>
      </c>
      <c r="S139" s="2" t="str">
        <f t="shared" si="179"/>
        <v xml:space="preserve">43.15 Per Visit </v>
      </c>
      <c r="T139" s="1" t="s">
        <v>413</v>
      </c>
      <c r="U139" s="1"/>
      <c r="V139" s="1" t="s">
        <v>412</v>
      </c>
      <c r="W139" s="2" t="str">
        <f t="shared" si="180"/>
        <v xml:space="preserve">43.15 Per Visit </v>
      </c>
      <c r="X139" s="2" t="str">
        <f t="shared" si="181"/>
        <v xml:space="preserve">43.15 Per Visit </v>
      </c>
      <c r="Y139" s="2" t="str">
        <f t="shared" si="182"/>
        <v xml:space="preserve">43.15 Per Visit </v>
      </c>
      <c r="Z139" s="1" t="s">
        <v>189</v>
      </c>
      <c r="AA139" s="2" t="str">
        <f t="shared" si="183"/>
        <v xml:space="preserve">40.99 Per Visit </v>
      </c>
      <c r="AB139" s="2" t="str">
        <f t="shared" si="184"/>
        <v xml:space="preserve">40.99 Per Visit </v>
      </c>
      <c r="AC139" s="2" t="str">
        <f t="shared" si="185"/>
        <v xml:space="preserve">43.15 Per Visit </v>
      </c>
      <c r="AD139" s="2" t="str">
        <f t="shared" si="186"/>
        <v xml:space="preserve">45.31 Per Visit </v>
      </c>
      <c r="AE139" s="2" t="str">
        <f t="shared" si="187"/>
        <v xml:space="preserve">43.15 Per Visit </v>
      </c>
      <c r="AF139" s="2" t="str">
        <f t="shared" si="188"/>
        <v xml:space="preserve">43.15 Per Visit </v>
      </c>
      <c r="AG139" s="2" t="str">
        <f t="shared" si="189"/>
        <v xml:space="preserve">39.7 Per Visit </v>
      </c>
      <c r="AH139" s="2">
        <f t="shared" si="202"/>
        <v>90.152999999999992</v>
      </c>
      <c r="AI139" s="1" t="s">
        <v>196</v>
      </c>
      <c r="AJ139" s="1" t="s">
        <v>190</v>
      </c>
      <c r="AK139" s="1" t="s">
        <v>191</v>
      </c>
      <c r="AL139" s="2" t="str">
        <f t="shared" si="191"/>
        <v xml:space="preserve">43.15 Per Visit </v>
      </c>
      <c r="AM139" s="2" t="str">
        <f t="shared" si="192"/>
        <v xml:space="preserve">43.15 Per Visit </v>
      </c>
      <c r="AN139" s="1" t="s">
        <v>192</v>
      </c>
      <c r="AO139" s="1" t="s">
        <v>192</v>
      </c>
      <c r="AP139" s="1" t="s">
        <v>193</v>
      </c>
      <c r="AQ139" s="1" t="s">
        <v>194</v>
      </c>
      <c r="AR139" s="1" t="s">
        <v>63</v>
      </c>
      <c r="AS139" s="1" t="s">
        <v>195</v>
      </c>
      <c r="AT139" s="1" t="s">
        <v>195</v>
      </c>
      <c r="AU139" s="1">
        <v>158.3634375</v>
      </c>
      <c r="AV139" s="1" t="s">
        <v>220</v>
      </c>
      <c r="AW139" s="2" t="str">
        <f t="shared" si="194"/>
        <v xml:space="preserve">43.15 Per Visit </v>
      </c>
      <c r="AX139" s="2" t="str">
        <f t="shared" si="195"/>
        <v xml:space="preserve">40.99 Per Visit </v>
      </c>
      <c r="AY139" s="2" t="str">
        <f t="shared" si="196"/>
        <v xml:space="preserve">37.97 Per Visit </v>
      </c>
      <c r="AZ139" s="2" t="s">
        <v>196</v>
      </c>
      <c r="BA139" s="1" t="s">
        <v>198</v>
      </c>
      <c r="BB139" s="1" t="s">
        <v>198</v>
      </c>
      <c r="BC139" s="2">
        <v>0</v>
      </c>
      <c r="BD139" s="2">
        <v>0</v>
      </c>
      <c r="BE139" s="2">
        <v>0</v>
      </c>
      <c r="BF139" s="1" t="s">
        <v>199</v>
      </c>
      <c r="BG139" s="2" t="str">
        <f t="shared" si="197"/>
        <v xml:space="preserve">43.15 Per Visit </v>
      </c>
      <c r="BH139" s="2" t="str">
        <f t="shared" si="198"/>
        <v xml:space="preserve">40.99 Per Visit </v>
      </c>
      <c r="BI139" s="1" t="s">
        <v>63</v>
      </c>
      <c r="BJ139" s="1" t="s">
        <v>63</v>
      </c>
      <c r="BK139" s="2" t="str">
        <f t="shared" si="199"/>
        <v xml:space="preserve">40.99 Per Visit </v>
      </c>
      <c r="BL139" s="2" t="str">
        <f t="shared" si="200"/>
        <v xml:space="preserve">43.15 Per Visit </v>
      </c>
      <c r="BM139" s="1" t="s">
        <v>200</v>
      </c>
      <c r="BN139" s="1" t="s">
        <v>198</v>
      </c>
      <c r="BO139" s="2" t="str">
        <f>AY139</f>
        <v xml:space="preserve">37.97 Per Visit </v>
      </c>
      <c r="BP139" s="2" t="s">
        <v>201</v>
      </c>
      <c r="BQ139" s="22"/>
    </row>
    <row r="140" spans="1:69" ht="20.100000000000001" customHeight="1" x14ac:dyDescent="0.2">
      <c r="A140" s="17">
        <f t="shared" si="203"/>
        <v>138</v>
      </c>
      <c r="B140" s="24">
        <v>92611</v>
      </c>
      <c r="C140" s="24">
        <v>4449261100</v>
      </c>
      <c r="D140" s="19" t="s">
        <v>229</v>
      </c>
      <c r="E140" s="18" t="s">
        <v>186</v>
      </c>
      <c r="F140" s="33">
        <v>306.06</v>
      </c>
      <c r="G140" s="18">
        <v>444</v>
      </c>
      <c r="H140" s="12">
        <v>0</v>
      </c>
      <c r="I140" s="24">
        <v>0</v>
      </c>
      <c r="J140" s="2">
        <f>L140*1.3</f>
        <v>136.09523200000001</v>
      </c>
      <c r="K140" s="21" t="s">
        <v>91</v>
      </c>
      <c r="L140" s="2">
        <v>104.68864000000001</v>
      </c>
      <c r="M140" s="2">
        <v>40.001935000000003</v>
      </c>
      <c r="N140" s="2" t="str">
        <f>CONCATENATE(ROUND(112.1*1.8,2)," ",K140)</f>
        <v xml:space="preserve">201.78 Per Visit </v>
      </c>
      <c r="O140" s="2" t="str">
        <f t="shared" si="176"/>
        <v xml:space="preserve">104.69 Per Visit </v>
      </c>
      <c r="P140" s="1" t="s">
        <v>188</v>
      </c>
      <c r="Q140" s="2" t="str">
        <f t="shared" si="177"/>
        <v xml:space="preserve">104.69 Per Visit </v>
      </c>
      <c r="R140" s="2" t="str">
        <f t="shared" si="178"/>
        <v xml:space="preserve">115.16 Per Visit </v>
      </c>
      <c r="S140" s="2" t="str">
        <f t="shared" si="179"/>
        <v xml:space="preserve">104.69 Per Visit </v>
      </c>
      <c r="T140" s="1" t="s">
        <v>413</v>
      </c>
      <c r="U140" s="1"/>
      <c r="V140" s="1" t="s">
        <v>412</v>
      </c>
      <c r="W140" s="2" t="str">
        <f t="shared" si="180"/>
        <v xml:space="preserve">104.69 Per Visit </v>
      </c>
      <c r="X140" s="2" t="str">
        <f t="shared" si="181"/>
        <v xml:space="preserve">104.69 Per Visit </v>
      </c>
      <c r="Y140" s="2" t="str">
        <f t="shared" si="182"/>
        <v xml:space="preserve">104.69 Per Visit </v>
      </c>
      <c r="Z140" s="1" t="s">
        <v>189</v>
      </c>
      <c r="AA140" s="2" t="str">
        <f t="shared" si="183"/>
        <v xml:space="preserve">99.45 Per Visit </v>
      </c>
      <c r="AB140" s="2" t="str">
        <f t="shared" si="184"/>
        <v xml:space="preserve">99.45 Per Visit </v>
      </c>
      <c r="AC140" s="2" t="str">
        <f t="shared" si="185"/>
        <v xml:space="preserve">104.69 Per Visit </v>
      </c>
      <c r="AD140" s="2" t="str">
        <f t="shared" si="186"/>
        <v xml:space="preserve">109.92 Per Visit </v>
      </c>
      <c r="AE140" s="2" t="str">
        <f t="shared" si="187"/>
        <v xml:space="preserve">104.69 Per Visit </v>
      </c>
      <c r="AF140" s="2" t="str">
        <f t="shared" si="188"/>
        <v xml:space="preserve">104.69 Per Visit </v>
      </c>
      <c r="AG140" s="2" t="str">
        <f t="shared" si="189"/>
        <v xml:space="preserve">96.31 Per Visit </v>
      </c>
      <c r="AH140" s="2">
        <f t="shared" si="202"/>
        <v>214.24199999999999</v>
      </c>
      <c r="AI140" s="1" t="s">
        <v>196</v>
      </c>
      <c r="AJ140" s="1" t="s">
        <v>190</v>
      </c>
      <c r="AK140" s="1" t="s">
        <v>191</v>
      </c>
      <c r="AL140" s="2" t="str">
        <f t="shared" si="191"/>
        <v xml:space="preserve">104.69 Per Visit </v>
      </c>
      <c r="AM140" s="2" t="str">
        <f t="shared" si="192"/>
        <v xml:space="preserve">104.69 Per Visit </v>
      </c>
      <c r="AN140" s="1" t="s">
        <v>192</v>
      </c>
      <c r="AO140" s="1" t="s">
        <v>192</v>
      </c>
      <c r="AP140" s="1" t="s">
        <v>193</v>
      </c>
      <c r="AQ140" s="1" t="s">
        <v>194</v>
      </c>
      <c r="AR140" s="1" t="s">
        <v>63</v>
      </c>
      <c r="AS140" s="1" t="s">
        <v>195</v>
      </c>
      <c r="AT140" s="1" t="s">
        <v>195</v>
      </c>
      <c r="AU140" s="1">
        <v>158.3634375</v>
      </c>
      <c r="AV140" s="2" t="str">
        <f>CONCATENATE(ROUND(M140*1.1,2)," ",K140)</f>
        <v xml:space="preserve">44 Per Visit </v>
      </c>
      <c r="AW140" s="2" t="str">
        <f t="shared" si="194"/>
        <v xml:space="preserve">104.69 Per Visit </v>
      </c>
      <c r="AX140" s="2" t="str">
        <f t="shared" si="195"/>
        <v xml:space="preserve">99.45 Per Visit </v>
      </c>
      <c r="AY140" s="2" t="str">
        <f t="shared" si="196"/>
        <v xml:space="preserve">92.13 Per Visit </v>
      </c>
      <c r="AZ140" s="2" t="s">
        <v>196</v>
      </c>
      <c r="BA140" s="1" t="s">
        <v>198</v>
      </c>
      <c r="BB140" s="1" t="s">
        <v>198</v>
      </c>
      <c r="BC140" s="2">
        <v>0</v>
      </c>
      <c r="BD140" s="2">
        <v>0</v>
      </c>
      <c r="BE140" s="2">
        <v>0</v>
      </c>
      <c r="BF140" s="1" t="s">
        <v>199</v>
      </c>
      <c r="BG140" s="2" t="str">
        <f t="shared" si="197"/>
        <v xml:space="preserve">104.69 Per Visit </v>
      </c>
      <c r="BH140" s="2" t="str">
        <f t="shared" si="198"/>
        <v xml:space="preserve">99.45 Per Visit </v>
      </c>
      <c r="BI140" s="1" t="s">
        <v>63</v>
      </c>
      <c r="BJ140" s="1" t="s">
        <v>63</v>
      </c>
      <c r="BK140" s="2" t="str">
        <f t="shared" si="199"/>
        <v xml:space="preserve">99.45 Per Visit </v>
      </c>
      <c r="BL140" s="2" t="str">
        <f t="shared" si="200"/>
        <v xml:space="preserve">104.69 Per Visit </v>
      </c>
      <c r="BM140" s="1" t="s">
        <v>200</v>
      </c>
      <c r="BN140" s="1" t="s">
        <v>198</v>
      </c>
      <c r="BO140" s="2" t="str">
        <f>AV140</f>
        <v xml:space="preserve">44 Per Visit </v>
      </c>
      <c r="BP140" s="2">
        <f>AH140</f>
        <v>214.24199999999999</v>
      </c>
      <c r="BQ140" s="22"/>
    </row>
    <row r="141" spans="1:69" ht="20.100000000000001" customHeight="1" x14ac:dyDescent="0.2">
      <c r="A141" s="17">
        <f t="shared" si="203"/>
        <v>139</v>
      </c>
      <c r="B141" s="24">
        <v>97032</v>
      </c>
      <c r="C141" s="24">
        <v>4209703200</v>
      </c>
      <c r="D141" s="19" t="s">
        <v>230</v>
      </c>
      <c r="E141" s="18" t="s">
        <v>186</v>
      </c>
      <c r="F141" s="33">
        <v>47.76</v>
      </c>
      <c r="G141" s="24">
        <v>420</v>
      </c>
      <c r="H141" s="12">
        <v>0</v>
      </c>
      <c r="I141" s="24">
        <v>0</v>
      </c>
      <c r="J141" s="2">
        <f>L141*1.3</f>
        <v>21.634703999999999</v>
      </c>
      <c r="K141" s="21" t="s">
        <v>187</v>
      </c>
      <c r="L141" s="2">
        <v>16.64208</v>
      </c>
      <c r="M141" s="2">
        <v>8.6712580000000017</v>
      </c>
      <c r="N141" s="2" t="str">
        <f>CONCATENATE(ROUND(12.9*1.8,2)," ",K141)</f>
        <v>23.22 Per 15 minutes</v>
      </c>
      <c r="O141" s="2" t="str">
        <f t="shared" si="176"/>
        <v>16.64 Per 15 minutes</v>
      </c>
      <c r="P141" s="1" t="s">
        <v>188</v>
      </c>
      <c r="Q141" s="2" t="str">
        <f t="shared" si="177"/>
        <v>16.64 Per 15 minutes</v>
      </c>
      <c r="R141" s="2" t="str">
        <f t="shared" si="178"/>
        <v>18.31 Per 15 minutes</v>
      </c>
      <c r="S141" s="2" t="str">
        <f t="shared" si="179"/>
        <v>16.64 Per 15 minutes</v>
      </c>
      <c r="T141" s="1" t="s">
        <v>413</v>
      </c>
      <c r="U141" s="1"/>
      <c r="V141" s="1" t="s">
        <v>412</v>
      </c>
      <c r="W141" s="2" t="str">
        <f t="shared" si="180"/>
        <v>16.64 Per 15 minutes</v>
      </c>
      <c r="X141" s="2" t="str">
        <f t="shared" si="181"/>
        <v>16.64 Per 15 minutes</v>
      </c>
      <c r="Y141" s="2" t="str">
        <f t="shared" si="182"/>
        <v>16.64 Per 15 minutes</v>
      </c>
      <c r="Z141" s="1" t="s">
        <v>189</v>
      </c>
      <c r="AA141" s="2" t="str">
        <f t="shared" si="183"/>
        <v>15.81 Per 15 minutes</v>
      </c>
      <c r="AB141" s="2" t="str">
        <f t="shared" si="184"/>
        <v>15.81 Per 15 minutes</v>
      </c>
      <c r="AC141" s="2" t="str">
        <f t="shared" si="185"/>
        <v>16.64 Per 15 minutes</v>
      </c>
      <c r="AD141" s="2" t="str">
        <f t="shared" si="186"/>
        <v>17.47 Per 15 minutes</v>
      </c>
      <c r="AE141" s="2" t="str">
        <f t="shared" si="187"/>
        <v>16.64 Per 15 minutes</v>
      </c>
      <c r="AF141" s="2" t="str">
        <f t="shared" si="188"/>
        <v>16.64 Per 15 minutes</v>
      </c>
      <c r="AG141" s="2" t="str">
        <f t="shared" si="189"/>
        <v>15.31 Per 15 minutes</v>
      </c>
      <c r="AH141" s="2">
        <f t="shared" si="202"/>
        <v>33.431999999999995</v>
      </c>
      <c r="AI141" s="1" t="s">
        <v>196</v>
      </c>
      <c r="AJ141" s="1" t="s">
        <v>190</v>
      </c>
      <c r="AK141" s="1" t="s">
        <v>191</v>
      </c>
      <c r="AL141" s="2" t="str">
        <f t="shared" si="191"/>
        <v>16.64 Per 15 minutes</v>
      </c>
      <c r="AM141" s="2" t="str">
        <f t="shared" si="192"/>
        <v>16.64 Per 15 minutes</v>
      </c>
      <c r="AN141" s="1" t="s">
        <v>192</v>
      </c>
      <c r="AO141" s="1" t="s">
        <v>192</v>
      </c>
      <c r="AP141" s="1" t="s">
        <v>193</v>
      </c>
      <c r="AQ141" s="1" t="s">
        <v>194</v>
      </c>
      <c r="AR141" s="1" t="s">
        <v>63</v>
      </c>
      <c r="AS141" s="1" t="s">
        <v>195</v>
      </c>
      <c r="AT141" s="1" t="s">
        <v>195</v>
      </c>
      <c r="AU141" s="1">
        <v>158.3634375</v>
      </c>
      <c r="AV141" s="2" t="str">
        <f>CONCATENATE(ROUND(M141*1.1,2)," ",K141)</f>
        <v>9.54 Per 15 minutes</v>
      </c>
      <c r="AW141" s="2" t="str">
        <f t="shared" si="194"/>
        <v>16.64 Per 15 minutes</v>
      </c>
      <c r="AX141" s="2" t="str">
        <f t="shared" si="195"/>
        <v>15.81 Per 15 minutes</v>
      </c>
      <c r="AY141" s="2" t="str">
        <f t="shared" si="196"/>
        <v>14.65 Per 15 minutes</v>
      </c>
      <c r="AZ141" s="2" t="s">
        <v>196</v>
      </c>
      <c r="BA141" s="1" t="s">
        <v>198</v>
      </c>
      <c r="BB141" s="1" t="s">
        <v>198</v>
      </c>
      <c r="BC141" s="2">
        <v>0</v>
      </c>
      <c r="BD141" s="2">
        <v>0</v>
      </c>
      <c r="BE141" s="2">
        <v>0</v>
      </c>
      <c r="BF141" s="1" t="s">
        <v>199</v>
      </c>
      <c r="BG141" s="2" t="str">
        <f t="shared" si="197"/>
        <v>16.64 Per 15 minutes</v>
      </c>
      <c r="BH141" s="2" t="str">
        <f t="shared" si="198"/>
        <v>15.81 Per 15 minutes</v>
      </c>
      <c r="BI141" s="1" t="s">
        <v>63</v>
      </c>
      <c r="BJ141" s="1" t="s">
        <v>63</v>
      </c>
      <c r="BK141" s="2" t="str">
        <f t="shared" si="199"/>
        <v>15.81 Per 15 minutes</v>
      </c>
      <c r="BL141" s="2" t="str">
        <f t="shared" si="200"/>
        <v>16.64 Per 15 minutes</v>
      </c>
      <c r="BM141" s="1" t="s">
        <v>200</v>
      </c>
      <c r="BN141" s="1" t="s">
        <v>198</v>
      </c>
      <c r="BO141" s="2" t="str">
        <f>AV141</f>
        <v>9.54 Per 15 minutes</v>
      </c>
      <c r="BP141" s="2" t="s">
        <v>201</v>
      </c>
      <c r="BQ141" s="22"/>
    </row>
    <row r="142" spans="1:69" ht="20.100000000000001" customHeight="1" x14ac:dyDescent="0.2">
      <c r="A142" s="17">
        <f t="shared" si="203"/>
        <v>140</v>
      </c>
      <c r="B142" s="24">
        <v>97012</v>
      </c>
      <c r="C142" s="24">
        <v>4209701200</v>
      </c>
      <c r="D142" s="26" t="s">
        <v>231</v>
      </c>
      <c r="E142" s="18" t="s">
        <v>186</v>
      </c>
      <c r="F142" s="33">
        <v>47.76</v>
      </c>
      <c r="G142" s="24">
        <v>420</v>
      </c>
      <c r="H142" s="12">
        <v>0</v>
      </c>
      <c r="I142" s="24">
        <v>0</v>
      </c>
      <c r="J142" s="2">
        <f>L142*1.3</f>
        <v>21.634703999999999</v>
      </c>
      <c r="K142" s="21" t="s">
        <v>91</v>
      </c>
      <c r="L142" s="2">
        <v>16.64208</v>
      </c>
      <c r="M142" s="2">
        <v>11.154482000000002</v>
      </c>
      <c r="N142" s="2" t="str">
        <f>CONCATENATE(ROUND(11.02*1.8,2)," ",K142)</f>
        <v xml:space="preserve">19.84 Per Visit </v>
      </c>
      <c r="O142" s="2" t="str">
        <f t="shared" si="176"/>
        <v xml:space="preserve">16.64 Per Visit </v>
      </c>
      <c r="P142" s="1" t="s">
        <v>188</v>
      </c>
      <c r="Q142" s="2" t="str">
        <f t="shared" si="177"/>
        <v xml:space="preserve">16.64 Per Visit </v>
      </c>
      <c r="R142" s="2" t="str">
        <f t="shared" si="178"/>
        <v xml:space="preserve">18.31 Per Visit </v>
      </c>
      <c r="S142" s="2" t="str">
        <f t="shared" si="179"/>
        <v xml:space="preserve">16.64 Per Visit </v>
      </c>
      <c r="T142" s="1" t="s">
        <v>413</v>
      </c>
      <c r="U142" s="1"/>
      <c r="V142" s="1" t="s">
        <v>412</v>
      </c>
      <c r="W142" s="2" t="str">
        <f t="shared" si="180"/>
        <v xml:space="preserve">16.64 Per Visit </v>
      </c>
      <c r="X142" s="2" t="str">
        <f t="shared" si="181"/>
        <v xml:space="preserve">16.64 Per Visit </v>
      </c>
      <c r="Y142" s="2" t="str">
        <f t="shared" si="182"/>
        <v xml:space="preserve">16.64 Per Visit </v>
      </c>
      <c r="Z142" s="1" t="s">
        <v>189</v>
      </c>
      <c r="AA142" s="2" t="str">
        <f t="shared" si="183"/>
        <v xml:space="preserve">15.81 Per Visit </v>
      </c>
      <c r="AB142" s="2" t="str">
        <f t="shared" si="184"/>
        <v xml:space="preserve">15.81 Per Visit </v>
      </c>
      <c r="AC142" s="2" t="str">
        <f t="shared" si="185"/>
        <v xml:space="preserve">16.64 Per Visit </v>
      </c>
      <c r="AD142" s="2" t="str">
        <f t="shared" si="186"/>
        <v xml:space="preserve">17.47 Per Visit </v>
      </c>
      <c r="AE142" s="2" t="str">
        <f t="shared" si="187"/>
        <v xml:space="preserve">16.64 Per Visit </v>
      </c>
      <c r="AF142" s="2" t="str">
        <f t="shared" si="188"/>
        <v xml:space="preserve">16.64 Per Visit </v>
      </c>
      <c r="AG142" s="2" t="str">
        <f t="shared" si="189"/>
        <v xml:space="preserve">15.31 Per Visit </v>
      </c>
      <c r="AH142" s="2">
        <f t="shared" si="202"/>
        <v>33.431999999999995</v>
      </c>
      <c r="AI142" s="1" t="s">
        <v>196</v>
      </c>
      <c r="AJ142" s="1" t="s">
        <v>190</v>
      </c>
      <c r="AK142" s="1" t="s">
        <v>191</v>
      </c>
      <c r="AL142" s="2" t="str">
        <f t="shared" si="191"/>
        <v xml:space="preserve">16.64 Per Visit </v>
      </c>
      <c r="AM142" s="2" t="str">
        <f t="shared" si="192"/>
        <v xml:space="preserve">16.64 Per Visit </v>
      </c>
      <c r="AN142" s="1" t="s">
        <v>192</v>
      </c>
      <c r="AO142" s="1" t="s">
        <v>192</v>
      </c>
      <c r="AP142" s="1" t="s">
        <v>193</v>
      </c>
      <c r="AQ142" s="1" t="s">
        <v>194</v>
      </c>
      <c r="AR142" s="1" t="s">
        <v>63</v>
      </c>
      <c r="AS142" s="1" t="s">
        <v>195</v>
      </c>
      <c r="AT142" s="1" t="s">
        <v>195</v>
      </c>
      <c r="AU142" s="1">
        <v>158.3634375</v>
      </c>
      <c r="AV142" s="2" t="str">
        <f>CONCATENATE(ROUND(M142*1.1,2)," ",K142)</f>
        <v xml:space="preserve">12.27 Per Visit </v>
      </c>
      <c r="AW142" s="2" t="str">
        <f t="shared" si="194"/>
        <v xml:space="preserve">16.64 Per Visit </v>
      </c>
      <c r="AX142" s="2" t="str">
        <f t="shared" si="195"/>
        <v xml:space="preserve">15.81 Per Visit </v>
      </c>
      <c r="AY142" s="2" t="str">
        <f t="shared" si="196"/>
        <v xml:space="preserve">14.65 Per Visit </v>
      </c>
      <c r="AZ142" s="2" t="s">
        <v>196</v>
      </c>
      <c r="BA142" s="1" t="s">
        <v>198</v>
      </c>
      <c r="BB142" s="1" t="s">
        <v>198</v>
      </c>
      <c r="BC142" s="2">
        <v>0</v>
      </c>
      <c r="BD142" s="2">
        <v>0</v>
      </c>
      <c r="BE142" s="2">
        <v>0</v>
      </c>
      <c r="BF142" s="1" t="s">
        <v>199</v>
      </c>
      <c r="BG142" s="2" t="str">
        <f t="shared" si="197"/>
        <v xml:space="preserve">16.64 Per Visit </v>
      </c>
      <c r="BH142" s="2" t="str">
        <f t="shared" si="198"/>
        <v xml:space="preserve">15.81 Per Visit </v>
      </c>
      <c r="BI142" s="1" t="s">
        <v>63</v>
      </c>
      <c r="BJ142" s="1" t="s">
        <v>63</v>
      </c>
      <c r="BK142" s="2" t="str">
        <f t="shared" si="199"/>
        <v xml:space="preserve">15.81 Per Visit </v>
      </c>
      <c r="BL142" s="2" t="str">
        <f t="shared" si="200"/>
        <v xml:space="preserve">16.64 Per Visit </v>
      </c>
      <c r="BM142" s="1" t="s">
        <v>200</v>
      </c>
      <c r="BN142" s="1" t="s">
        <v>198</v>
      </c>
      <c r="BO142" s="2" t="str">
        <f>AV142</f>
        <v xml:space="preserve">12.27 Per Visit </v>
      </c>
      <c r="BP142" s="2" t="s">
        <v>201</v>
      </c>
      <c r="BQ142" s="22"/>
    </row>
    <row r="143" spans="1:69" ht="20.100000000000001" customHeight="1" x14ac:dyDescent="0.2">
      <c r="A143" s="17">
        <f t="shared" si="203"/>
        <v>141</v>
      </c>
      <c r="B143" s="24">
        <v>92610</v>
      </c>
      <c r="C143" s="24">
        <v>4449261000</v>
      </c>
      <c r="D143" s="19" t="s">
        <v>232</v>
      </c>
      <c r="E143" s="18" t="s">
        <v>186</v>
      </c>
      <c r="F143" s="33">
        <v>284.39999999999998</v>
      </c>
      <c r="G143" s="18">
        <v>444</v>
      </c>
      <c r="H143" s="12">
        <v>0</v>
      </c>
      <c r="I143" s="24">
        <v>0</v>
      </c>
      <c r="J143" s="2">
        <v>225</v>
      </c>
      <c r="K143" s="21" t="s">
        <v>91</v>
      </c>
      <c r="L143" s="2">
        <v>96.713039999999992</v>
      </c>
      <c r="M143" s="2">
        <v>48.843414000000003</v>
      </c>
      <c r="N143" s="2" t="str">
        <f>CONCATENATE(ROUND(65.58*1.8,2)," ",K143)</f>
        <v xml:space="preserve">118.04 Per Visit </v>
      </c>
      <c r="O143" s="2" t="str">
        <f t="shared" si="176"/>
        <v xml:space="preserve">96.71 Per Visit </v>
      </c>
      <c r="P143" s="1" t="s">
        <v>188</v>
      </c>
      <c r="Q143" s="2" t="str">
        <f t="shared" si="177"/>
        <v xml:space="preserve">96.71 Per Visit </v>
      </c>
      <c r="R143" s="2" t="str">
        <f t="shared" si="178"/>
        <v xml:space="preserve">106.38 Per Visit </v>
      </c>
      <c r="S143" s="2" t="str">
        <f t="shared" si="179"/>
        <v xml:space="preserve">96.71 Per Visit </v>
      </c>
      <c r="T143" s="1" t="s">
        <v>413</v>
      </c>
      <c r="U143" s="1"/>
      <c r="V143" s="1" t="s">
        <v>412</v>
      </c>
      <c r="W143" s="2" t="str">
        <f t="shared" si="180"/>
        <v xml:space="preserve">96.71 Per Visit </v>
      </c>
      <c r="X143" s="2" t="str">
        <f t="shared" si="181"/>
        <v xml:space="preserve">96.71 Per Visit </v>
      </c>
      <c r="Y143" s="2" t="str">
        <f t="shared" si="182"/>
        <v xml:space="preserve">96.71 Per Visit </v>
      </c>
      <c r="Z143" s="1" t="s">
        <v>189</v>
      </c>
      <c r="AA143" s="2" t="str">
        <f t="shared" si="183"/>
        <v xml:space="preserve">91.88 Per Visit </v>
      </c>
      <c r="AB143" s="2" t="str">
        <f t="shared" si="184"/>
        <v xml:space="preserve">91.88 Per Visit </v>
      </c>
      <c r="AC143" s="2" t="str">
        <f t="shared" si="185"/>
        <v xml:space="preserve">96.71 Per Visit </v>
      </c>
      <c r="AD143" s="2" t="str">
        <f t="shared" si="186"/>
        <v xml:space="preserve">101.55 Per Visit </v>
      </c>
      <c r="AE143" s="2" t="str">
        <f t="shared" si="187"/>
        <v xml:space="preserve">96.71 Per Visit </v>
      </c>
      <c r="AF143" s="2" t="str">
        <f t="shared" si="188"/>
        <v xml:space="preserve">96.71 Per Visit </v>
      </c>
      <c r="AG143" s="2" t="str">
        <f t="shared" si="189"/>
        <v xml:space="preserve">88.98 Per Visit </v>
      </c>
      <c r="AH143" s="2">
        <f t="shared" si="202"/>
        <v>199.07999999999998</v>
      </c>
      <c r="AI143" s="1" t="s">
        <v>196</v>
      </c>
      <c r="AJ143" s="1" t="s">
        <v>190</v>
      </c>
      <c r="AK143" s="1" t="s">
        <v>191</v>
      </c>
      <c r="AL143" s="2" t="str">
        <f t="shared" si="191"/>
        <v xml:space="preserve">96.71 Per Visit </v>
      </c>
      <c r="AM143" s="2" t="str">
        <f t="shared" si="192"/>
        <v xml:space="preserve">96.71 Per Visit </v>
      </c>
      <c r="AN143" s="1" t="s">
        <v>192</v>
      </c>
      <c r="AO143" s="1" t="s">
        <v>192</v>
      </c>
      <c r="AP143" s="1" t="s">
        <v>193</v>
      </c>
      <c r="AQ143" s="1" t="s">
        <v>194</v>
      </c>
      <c r="AR143" s="1" t="s">
        <v>63</v>
      </c>
      <c r="AS143" s="1" t="s">
        <v>195</v>
      </c>
      <c r="AT143" s="1" t="s">
        <v>195</v>
      </c>
      <c r="AU143" s="1">
        <v>158.3634375</v>
      </c>
      <c r="AV143" s="2" t="str">
        <f>CONCATENATE(ROUND(M143*1.1,2)," ",K143)</f>
        <v xml:space="preserve">53.73 Per Visit </v>
      </c>
      <c r="AW143" s="2" t="str">
        <f t="shared" si="194"/>
        <v xml:space="preserve">96.71 Per Visit </v>
      </c>
      <c r="AX143" s="2" t="str">
        <f t="shared" si="195"/>
        <v xml:space="preserve">91.88 Per Visit </v>
      </c>
      <c r="AY143" s="2" t="str">
        <f t="shared" si="196"/>
        <v xml:space="preserve">85.11 Per Visit </v>
      </c>
      <c r="AZ143" s="2" t="s">
        <v>196</v>
      </c>
      <c r="BA143" s="1" t="s">
        <v>198</v>
      </c>
      <c r="BB143" s="1" t="s">
        <v>198</v>
      </c>
      <c r="BC143" s="2">
        <v>0</v>
      </c>
      <c r="BD143" s="2">
        <v>0</v>
      </c>
      <c r="BE143" s="2">
        <v>0</v>
      </c>
      <c r="BF143" s="1" t="s">
        <v>199</v>
      </c>
      <c r="BG143" s="2" t="str">
        <f t="shared" si="197"/>
        <v xml:space="preserve">96.71 Per Visit </v>
      </c>
      <c r="BH143" s="2" t="str">
        <f t="shared" si="198"/>
        <v xml:space="preserve">91.88 Per Visit </v>
      </c>
      <c r="BI143" s="1" t="s">
        <v>63</v>
      </c>
      <c r="BJ143" s="1" t="s">
        <v>63</v>
      </c>
      <c r="BK143" s="2" t="str">
        <f t="shared" si="199"/>
        <v xml:space="preserve">91.88 Per Visit </v>
      </c>
      <c r="BL143" s="2" t="str">
        <f t="shared" si="200"/>
        <v xml:space="preserve">96.71 Per Visit </v>
      </c>
      <c r="BM143" s="1" t="s">
        <v>200</v>
      </c>
      <c r="BN143" s="1" t="s">
        <v>198</v>
      </c>
      <c r="BO143" s="2" t="str">
        <f>AV143</f>
        <v xml:space="preserve">53.73 Per Visit </v>
      </c>
      <c r="BP143" s="2">
        <f>AH143</f>
        <v>199.07999999999998</v>
      </c>
      <c r="BQ143" s="22"/>
    </row>
    <row r="144" spans="1:69" ht="20.100000000000001" customHeight="1" x14ac:dyDescent="0.2">
      <c r="A144" s="17">
        <f t="shared" si="203"/>
        <v>142</v>
      </c>
      <c r="B144" s="24">
        <v>97760</v>
      </c>
      <c r="C144" s="24">
        <v>4209776000</v>
      </c>
      <c r="D144" s="19" t="s">
        <v>233</v>
      </c>
      <c r="E144" s="18" t="s">
        <v>186</v>
      </c>
      <c r="F144" s="33">
        <v>167.1</v>
      </c>
      <c r="G144" s="24">
        <v>420</v>
      </c>
      <c r="H144" s="12">
        <v>0</v>
      </c>
      <c r="I144" s="24">
        <v>0</v>
      </c>
      <c r="J144" s="2">
        <f>L144*1.3</f>
        <v>74.66482400000001</v>
      </c>
      <c r="K144" s="21" t="s">
        <v>91</v>
      </c>
      <c r="L144" s="2">
        <v>57.434480000000001</v>
      </c>
      <c r="M144" s="1">
        <v>0</v>
      </c>
      <c r="N144" s="2" t="str">
        <f>CONCATENATE(ROUND(25.62*1.8,2)," ",K144)</f>
        <v xml:space="preserve">46.12 Per Visit </v>
      </c>
      <c r="O144" s="2" t="str">
        <f t="shared" si="176"/>
        <v xml:space="preserve">57.43 Per Visit </v>
      </c>
      <c r="P144" s="1" t="s">
        <v>188</v>
      </c>
      <c r="Q144" s="2" t="str">
        <f t="shared" si="177"/>
        <v xml:space="preserve">57.43 Per Visit </v>
      </c>
      <c r="R144" s="2" t="str">
        <f t="shared" si="178"/>
        <v xml:space="preserve">63.18 Per Visit </v>
      </c>
      <c r="S144" s="2" t="str">
        <f t="shared" si="179"/>
        <v xml:space="preserve">57.43 Per Visit </v>
      </c>
      <c r="T144" s="1" t="s">
        <v>413</v>
      </c>
      <c r="U144" s="1"/>
      <c r="V144" s="1" t="s">
        <v>412</v>
      </c>
      <c r="W144" s="2" t="str">
        <f t="shared" si="180"/>
        <v xml:space="preserve">57.43 Per Visit </v>
      </c>
      <c r="X144" s="2" t="str">
        <f t="shared" si="181"/>
        <v xml:space="preserve">57.43 Per Visit </v>
      </c>
      <c r="Y144" s="2" t="str">
        <f t="shared" si="182"/>
        <v xml:space="preserve">57.43 Per Visit </v>
      </c>
      <c r="Z144" s="1" t="s">
        <v>189</v>
      </c>
      <c r="AA144" s="2" t="str">
        <f t="shared" si="183"/>
        <v xml:space="preserve">54.56 Per Visit </v>
      </c>
      <c r="AB144" s="2" t="str">
        <f t="shared" si="184"/>
        <v xml:space="preserve">54.56 Per Visit </v>
      </c>
      <c r="AC144" s="2" t="str">
        <f t="shared" si="185"/>
        <v xml:space="preserve">57.43 Per Visit </v>
      </c>
      <c r="AD144" s="2" t="str">
        <f t="shared" si="186"/>
        <v xml:space="preserve">60.31 Per Visit </v>
      </c>
      <c r="AE144" s="2" t="str">
        <f t="shared" si="187"/>
        <v xml:space="preserve">57.43 Per Visit </v>
      </c>
      <c r="AF144" s="2" t="str">
        <f t="shared" si="188"/>
        <v xml:space="preserve">57.43 Per Visit </v>
      </c>
      <c r="AG144" s="2" t="str">
        <f t="shared" si="189"/>
        <v xml:space="preserve">52.84 Per Visit </v>
      </c>
      <c r="AH144" s="2">
        <f t="shared" si="202"/>
        <v>116.96999999999998</v>
      </c>
      <c r="AI144" s="1" t="s">
        <v>196</v>
      </c>
      <c r="AJ144" s="1" t="s">
        <v>190</v>
      </c>
      <c r="AK144" s="1" t="s">
        <v>191</v>
      </c>
      <c r="AL144" s="2" t="str">
        <f t="shared" si="191"/>
        <v xml:space="preserve">57.43 Per Visit </v>
      </c>
      <c r="AM144" s="2" t="str">
        <f t="shared" si="192"/>
        <v xml:space="preserve">57.43 Per Visit </v>
      </c>
      <c r="AN144" s="1" t="s">
        <v>192</v>
      </c>
      <c r="AO144" s="1" t="s">
        <v>192</v>
      </c>
      <c r="AP144" s="1" t="s">
        <v>193</v>
      </c>
      <c r="AQ144" s="1" t="s">
        <v>194</v>
      </c>
      <c r="AR144" s="1" t="s">
        <v>63</v>
      </c>
      <c r="AS144" s="1" t="s">
        <v>195</v>
      </c>
      <c r="AT144" s="1" t="s">
        <v>195</v>
      </c>
      <c r="AU144" s="1">
        <v>158.3634375</v>
      </c>
      <c r="AV144" s="2">
        <f>M144</f>
        <v>0</v>
      </c>
      <c r="AW144" s="2" t="str">
        <f t="shared" si="194"/>
        <v xml:space="preserve">57.43 Per Visit </v>
      </c>
      <c r="AX144" s="2" t="str">
        <f t="shared" si="195"/>
        <v xml:space="preserve">54.56 Per Visit </v>
      </c>
      <c r="AY144" s="2" t="str">
        <f t="shared" si="196"/>
        <v xml:space="preserve">50.54 Per Visit </v>
      </c>
      <c r="AZ144" s="2" t="s">
        <v>196</v>
      </c>
      <c r="BA144" s="1" t="s">
        <v>198</v>
      </c>
      <c r="BB144" s="1" t="s">
        <v>198</v>
      </c>
      <c r="BC144" s="2">
        <v>0</v>
      </c>
      <c r="BD144" s="2">
        <v>0</v>
      </c>
      <c r="BE144" s="2">
        <v>0</v>
      </c>
      <c r="BF144" s="1" t="s">
        <v>199</v>
      </c>
      <c r="BG144" s="2" t="str">
        <f t="shared" si="197"/>
        <v xml:space="preserve">57.43 Per Visit </v>
      </c>
      <c r="BH144" s="2" t="str">
        <f t="shared" si="198"/>
        <v xml:space="preserve">54.56 Per Visit </v>
      </c>
      <c r="BI144" s="1" t="s">
        <v>63</v>
      </c>
      <c r="BJ144" s="1" t="s">
        <v>63</v>
      </c>
      <c r="BK144" s="2" t="str">
        <f t="shared" si="199"/>
        <v xml:space="preserve">54.56 Per Visit </v>
      </c>
      <c r="BL144" s="2" t="str">
        <f t="shared" si="200"/>
        <v xml:space="preserve">57.43 Per Visit </v>
      </c>
      <c r="BM144" s="1" t="s">
        <v>200</v>
      </c>
      <c r="BN144" s="1" t="s">
        <v>198</v>
      </c>
      <c r="BO144" s="2" t="s">
        <v>234</v>
      </c>
      <c r="BP144" s="2" t="s">
        <v>201</v>
      </c>
      <c r="BQ144" s="22"/>
    </row>
    <row r="145" spans="1:69" ht="20.100000000000001" customHeight="1" x14ac:dyDescent="0.2">
      <c r="A145" s="17">
        <f t="shared" si="203"/>
        <v>143</v>
      </c>
      <c r="B145" s="24">
        <v>92609</v>
      </c>
      <c r="C145" s="24">
        <v>4409260900</v>
      </c>
      <c r="D145" s="19" t="s">
        <v>235</v>
      </c>
      <c r="E145" s="18" t="s">
        <v>186</v>
      </c>
      <c r="F145" s="33">
        <v>347.82</v>
      </c>
      <c r="G145" s="24">
        <v>440</v>
      </c>
      <c r="H145" s="12">
        <v>0</v>
      </c>
      <c r="I145" s="24">
        <v>0</v>
      </c>
      <c r="J145" s="2">
        <v>400</v>
      </c>
      <c r="K145" s="21" t="s">
        <v>91</v>
      </c>
      <c r="L145" s="2">
        <v>119.96928</v>
      </c>
      <c r="M145" s="2">
        <v>52.017535000000009</v>
      </c>
      <c r="N145" s="2" t="str">
        <f>CONCATENATE(ROUND(113.92*1.8,2)," ",K145)</f>
        <v xml:space="preserve">205.06 Per Visit </v>
      </c>
      <c r="O145" s="2" t="str">
        <f t="shared" si="176"/>
        <v xml:space="preserve">119.97 Per Visit </v>
      </c>
      <c r="P145" s="1" t="s">
        <v>188</v>
      </c>
      <c r="Q145" s="2" t="str">
        <f t="shared" si="177"/>
        <v xml:space="preserve">119.97 Per Visit </v>
      </c>
      <c r="R145" s="2" t="str">
        <f t="shared" si="178"/>
        <v xml:space="preserve">131.97 Per Visit </v>
      </c>
      <c r="S145" s="2" t="str">
        <f t="shared" si="179"/>
        <v xml:space="preserve">119.97 Per Visit </v>
      </c>
      <c r="T145" s="1" t="s">
        <v>413</v>
      </c>
      <c r="U145" s="1"/>
      <c r="V145" s="1" t="s">
        <v>412</v>
      </c>
      <c r="W145" s="2" t="str">
        <f t="shared" si="180"/>
        <v xml:space="preserve">119.97 Per Visit </v>
      </c>
      <c r="X145" s="2" t="str">
        <f t="shared" si="181"/>
        <v xml:space="preserve">119.97 Per Visit </v>
      </c>
      <c r="Y145" s="2" t="str">
        <f t="shared" si="182"/>
        <v xml:space="preserve">119.97 Per Visit </v>
      </c>
      <c r="Z145" s="1" t="s">
        <v>189</v>
      </c>
      <c r="AA145" s="2" t="str">
        <f t="shared" si="183"/>
        <v xml:space="preserve">113.97 Per Visit </v>
      </c>
      <c r="AB145" s="2" t="str">
        <f t="shared" si="184"/>
        <v xml:space="preserve">113.97 Per Visit </v>
      </c>
      <c r="AC145" s="2" t="str">
        <f t="shared" si="185"/>
        <v xml:space="preserve">119.97 Per Visit </v>
      </c>
      <c r="AD145" s="2" t="str">
        <f t="shared" si="186"/>
        <v xml:space="preserve">125.97 Per Visit </v>
      </c>
      <c r="AE145" s="2" t="str">
        <f t="shared" si="187"/>
        <v xml:space="preserve">119.97 Per Visit </v>
      </c>
      <c r="AF145" s="2" t="str">
        <f t="shared" si="188"/>
        <v xml:space="preserve">119.97 Per Visit </v>
      </c>
      <c r="AG145" s="2" t="str">
        <f t="shared" si="189"/>
        <v xml:space="preserve">110.37 Per Visit </v>
      </c>
      <c r="AH145" s="2">
        <f t="shared" si="202"/>
        <v>243.47399999999999</v>
      </c>
      <c r="AI145" s="1" t="s">
        <v>196</v>
      </c>
      <c r="AJ145" s="1" t="s">
        <v>190</v>
      </c>
      <c r="AK145" s="1" t="s">
        <v>191</v>
      </c>
      <c r="AL145" s="2" t="str">
        <f t="shared" si="191"/>
        <v xml:space="preserve">119.97 Per Visit </v>
      </c>
      <c r="AM145" s="2" t="str">
        <f t="shared" si="192"/>
        <v xml:space="preserve">119.97 Per Visit </v>
      </c>
      <c r="AN145" s="1" t="s">
        <v>192</v>
      </c>
      <c r="AO145" s="1" t="s">
        <v>192</v>
      </c>
      <c r="AP145" s="1" t="s">
        <v>193</v>
      </c>
      <c r="AQ145" s="1" t="s">
        <v>194</v>
      </c>
      <c r="AR145" s="1" t="s">
        <v>63</v>
      </c>
      <c r="AS145" s="1" t="s">
        <v>195</v>
      </c>
      <c r="AT145" s="1" t="s">
        <v>195</v>
      </c>
      <c r="AU145" s="1">
        <v>158.3634375</v>
      </c>
      <c r="AV145" s="2" t="str">
        <f>CONCATENATE(ROUND(M145*1.1,2)," ",K145)</f>
        <v xml:space="preserve">57.22 Per Visit </v>
      </c>
      <c r="AW145" s="2" t="str">
        <f t="shared" si="194"/>
        <v xml:space="preserve">119.97 Per Visit </v>
      </c>
      <c r="AX145" s="2" t="str">
        <f t="shared" si="195"/>
        <v xml:space="preserve">113.97 Per Visit </v>
      </c>
      <c r="AY145" s="2" t="str">
        <f t="shared" si="196"/>
        <v xml:space="preserve">105.57 Per Visit </v>
      </c>
      <c r="AZ145" s="2" t="s">
        <v>196</v>
      </c>
      <c r="BA145" s="1" t="s">
        <v>198</v>
      </c>
      <c r="BB145" s="1" t="s">
        <v>198</v>
      </c>
      <c r="BC145" s="2">
        <v>0</v>
      </c>
      <c r="BD145" s="2">
        <v>0</v>
      </c>
      <c r="BE145" s="2">
        <v>0</v>
      </c>
      <c r="BF145" s="1" t="s">
        <v>199</v>
      </c>
      <c r="BG145" s="2" t="str">
        <f t="shared" si="197"/>
        <v xml:space="preserve">119.97 Per Visit </v>
      </c>
      <c r="BH145" s="2" t="str">
        <f t="shared" si="198"/>
        <v xml:space="preserve">113.97 Per Visit </v>
      </c>
      <c r="BI145" s="1" t="s">
        <v>63</v>
      </c>
      <c r="BJ145" s="1" t="s">
        <v>63</v>
      </c>
      <c r="BK145" s="2" t="str">
        <f t="shared" si="199"/>
        <v xml:space="preserve">113.97 Per Visit </v>
      </c>
      <c r="BL145" s="2" t="str">
        <f t="shared" si="200"/>
        <v xml:space="preserve">119.97 Per Visit </v>
      </c>
      <c r="BM145" s="1" t="s">
        <v>200</v>
      </c>
      <c r="BN145" s="1" t="s">
        <v>198</v>
      </c>
      <c r="BO145" s="2" t="str">
        <f>AV145</f>
        <v xml:space="preserve">57.22 Per Visit </v>
      </c>
      <c r="BP145" s="2">
        <f>AH145</f>
        <v>243.47399999999999</v>
      </c>
      <c r="BQ145" s="22"/>
    </row>
    <row r="146" spans="1:69" ht="20.100000000000001" customHeight="1" x14ac:dyDescent="0.2">
      <c r="A146" s="17">
        <f t="shared" si="203"/>
        <v>144</v>
      </c>
      <c r="B146" s="24">
        <v>90901</v>
      </c>
      <c r="C146" s="24">
        <v>4209090100</v>
      </c>
      <c r="D146" s="26" t="s">
        <v>236</v>
      </c>
      <c r="E146" s="18" t="s">
        <v>186</v>
      </c>
      <c r="F146" s="33">
        <v>140.66999999999999</v>
      </c>
      <c r="G146" s="24">
        <v>420</v>
      </c>
      <c r="H146" s="12">
        <v>0</v>
      </c>
      <c r="I146" s="24">
        <v>0</v>
      </c>
      <c r="J146" s="2">
        <f t="shared" ref="J146:J151" si="204">L146*1.3</f>
        <v>62.196472</v>
      </c>
      <c r="K146" s="21" t="s">
        <v>91</v>
      </c>
      <c r="L146" s="2">
        <v>47.843440000000001</v>
      </c>
      <c r="M146" s="1">
        <v>0</v>
      </c>
      <c r="N146" s="2" t="str">
        <f>CONCATENATE(ROUND(73*1.8,2)," ",K146)</f>
        <v xml:space="preserve">131.4 Per Visit </v>
      </c>
      <c r="O146" s="2" t="str">
        <f t="shared" si="176"/>
        <v xml:space="preserve">47.84 Per Visit </v>
      </c>
      <c r="P146" s="1" t="s">
        <v>188</v>
      </c>
      <c r="Q146" s="2" t="str">
        <f t="shared" si="177"/>
        <v xml:space="preserve">47.84 Per Visit </v>
      </c>
      <c r="R146" s="2" t="str">
        <f t="shared" si="178"/>
        <v xml:space="preserve">52.63 Per Visit </v>
      </c>
      <c r="S146" s="2" t="str">
        <f t="shared" si="179"/>
        <v xml:space="preserve">47.84 Per Visit </v>
      </c>
      <c r="T146" s="1" t="s">
        <v>413</v>
      </c>
      <c r="U146" s="1"/>
      <c r="V146" s="1" t="s">
        <v>412</v>
      </c>
      <c r="W146" s="2" t="str">
        <f t="shared" si="180"/>
        <v xml:space="preserve">47.84 Per Visit </v>
      </c>
      <c r="X146" s="2" t="str">
        <f t="shared" si="181"/>
        <v xml:space="preserve">47.84 Per Visit </v>
      </c>
      <c r="Y146" s="2" t="str">
        <f t="shared" si="182"/>
        <v xml:space="preserve">47.84 Per Visit </v>
      </c>
      <c r="Z146" s="1" t="s">
        <v>189</v>
      </c>
      <c r="AA146" s="2" t="str">
        <f t="shared" si="183"/>
        <v xml:space="preserve">45.45 Per Visit </v>
      </c>
      <c r="AB146" s="2" t="str">
        <f t="shared" si="184"/>
        <v xml:space="preserve">45.45 Per Visit </v>
      </c>
      <c r="AC146" s="2" t="str">
        <f t="shared" si="185"/>
        <v xml:space="preserve">47.84 Per Visit </v>
      </c>
      <c r="AD146" s="2" t="str">
        <f t="shared" si="186"/>
        <v xml:space="preserve">50.24 Per Visit </v>
      </c>
      <c r="AE146" s="2" t="str">
        <f t="shared" si="187"/>
        <v xml:space="preserve">47.84 Per Visit </v>
      </c>
      <c r="AF146" s="2" t="str">
        <f t="shared" si="188"/>
        <v xml:space="preserve">47.84 Per Visit </v>
      </c>
      <c r="AG146" s="2" t="str">
        <f t="shared" si="189"/>
        <v xml:space="preserve">44.02 Per Visit </v>
      </c>
      <c r="AH146" s="2">
        <f t="shared" si="202"/>
        <v>98.46899999999998</v>
      </c>
      <c r="AI146" s="1" t="s">
        <v>196</v>
      </c>
      <c r="AJ146" s="1" t="s">
        <v>190</v>
      </c>
      <c r="AK146" s="1" t="s">
        <v>191</v>
      </c>
      <c r="AL146" s="2" t="str">
        <f t="shared" si="191"/>
        <v xml:space="preserve">47.84 Per Visit </v>
      </c>
      <c r="AM146" s="2" t="str">
        <f t="shared" si="192"/>
        <v xml:space="preserve">47.84 Per Visit </v>
      </c>
      <c r="AN146" s="1" t="s">
        <v>192</v>
      </c>
      <c r="AO146" s="1" t="s">
        <v>192</v>
      </c>
      <c r="AP146" s="1" t="s">
        <v>193</v>
      </c>
      <c r="AQ146" s="1" t="s">
        <v>194</v>
      </c>
      <c r="AR146" s="1" t="s">
        <v>63</v>
      </c>
      <c r="AS146" s="1" t="s">
        <v>195</v>
      </c>
      <c r="AT146" s="1" t="s">
        <v>195</v>
      </c>
      <c r="AU146" s="1">
        <v>158.3634375</v>
      </c>
      <c r="AV146" s="2">
        <f>M146</f>
        <v>0</v>
      </c>
      <c r="AW146" s="2" t="str">
        <f t="shared" si="194"/>
        <v xml:space="preserve">47.84 Per Visit </v>
      </c>
      <c r="AX146" s="2" t="str">
        <f t="shared" si="195"/>
        <v xml:space="preserve">45.45 Per Visit </v>
      </c>
      <c r="AY146" s="2" t="str">
        <f t="shared" si="196"/>
        <v xml:space="preserve">42.1 Per Visit </v>
      </c>
      <c r="AZ146" s="2" t="s">
        <v>196</v>
      </c>
      <c r="BA146" s="1" t="s">
        <v>198</v>
      </c>
      <c r="BB146" s="1" t="s">
        <v>198</v>
      </c>
      <c r="BC146" s="2">
        <v>0</v>
      </c>
      <c r="BD146" s="2">
        <v>0</v>
      </c>
      <c r="BE146" s="2">
        <v>0</v>
      </c>
      <c r="BF146" s="1" t="s">
        <v>199</v>
      </c>
      <c r="BG146" s="2" t="str">
        <f t="shared" si="197"/>
        <v xml:space="preserve">47.84 Per Visit </v>
      </c>
      <c r="BH146" s="2" t="str">
        <f t="shared" si="198"/>
        <v xml:space="preserve">45.45 Per Visit </v>
      </c>
      <c r="BI146" s="1" t="s">
        <v>63</v>
      </c>
      <c r="BJ146" s="1" t="s">
        <v>63</v>
      </c>
      <c r="BK146" s="2" t="str">
        <f t="shared" si="199"/>
        <v xml:space="preserve">45.45 Per Visit </v>
      </c>
      <c r="BL146" s="2" t="str">
        <f t="shared" si="200"/>
        <v xml:space="preserve">47.84 Per Visit </v>
      </c>
      <c r="BM146" s="1" t="s">
        <v>200</v>
      </c>
      <c r="BN146" s="1" t="s">
        <v>198</v>
      </c>
      <c r="BO146" s="1" t="s">
        <v>237</v>
      </c>
      <c r="BP146" s="2" t="s">
        <v>201</v>
      </c>
      <c r="BQ146" s="22"/>
    </row>
    <row r="147" spans="1:69" ht="20.100000000000001" customHeight="1" x14ac:dyDescent="0.2">
      <c r="A147" s="17">
        <f t="shared" si="203"/>
        <v>145</v>
      </c>
      <c r="B147" s="24">
        <v>97763</v>
      </c>
      <c r="C147" s="24">
        <v>4209776300</v>
      </c>
      <c r="D147" s="19" t="s">
        <v>238</v>
      </c>
      <c r="E147" s="18" t="s">
        <v>186</v>
      </c>
      <c r="F147" s="33">
        <v>184.26</v>
      </c>
      <c r="G147" s="24">
        <v>420</v>
      </c>
      <c r="H147" s="12">
        <v>0</v>
      </c>
      <c r="I147" s="24">
        <v>0</v>
      </c>
      <c r="J147" s="2">
        <f t="shared" si="204"/>
        <v>82.365088</v>
      </c>
      <c r="K147" s="21" t="s">
        <v>91</v>
      </c>
      <c r="L147" s="1">
        <v>63.357759999999999</v>
      </c>
      <c r="M147" s="1">
        <v>0</v>
      </c>
      <c r="N147" s="2" t="str">
        <f>CONCATENATE(ROUND(48.23*1.8,2)," ",K147)</f>
        <v xml:space="preserve">86.81 Per Visit </v>
      </c>
      <c r="O147" s="2" t="str">
        <f t="shared" si="176"/>
        <v xml:space="preserve">63.36 Per Visit </v>
      </c>
      <c r="P147" s="1" t="s">
        <v>188</v>
      </c>
      <c r="Q147" s="2" t="str">
        <f t="shared" si="177"/>
        <v xml:space="preserve">63.36 Per Visit </v>
      </c>
      <c r="R147" s="2" t="str">
        <f t="shared" si="178"/>
        <v xml:space="preserve">69.69 Per Visit </v>
      </c>
      <c r="S147" s="2" t="str">
        <f t="shared" si="179"/>
        <v xml:space="preserve">63.36 Per Visit </v>
      </c>
      <c r="T147" s="1" t="s">
        <v>413</v>
      </c>
      <c r="U147" s="1"/>
      <c r="V147" s="1" t="s">
        <v>412</v>
      </c>
      <c r="W147" s="2" t="str">
        <f t="shared" si="180"/>
        <v xml:space="preserve">63.36 Per Visit </v>
      </c>
      <c r="X147" s="2" t="str">
        <f t="shared" si="181"/>
        <v xml:space="preserve">63.36 Per Visit </v>
      </c>
      <c r="Y147" s="2" t="str">
        <f t="shared" si="182"/>
        <v xml:space="preserve">63.36 Per Visit </v>
      </c>
      <c r="Z147" s="1" t="s">
        <v>189</v>
      </c>
      <c r="AA147" s="2" t="str">
        <f t="shared" si="183"/>
        <v xml:space="preserve">60.19 Per Visit </v>
      </c>
      <c r="AB147" s="2" t="str">
        <f t="shared" si="184"/>
        <v xml:space="preserve">60.19 Per Visit </v>
      </c>
      <c r="AC147" s="2" t="str">
        <f t="shared" si="185"/>
        <v xml:space="preserve">63.36 Per Visit </v>
      </c>
      <c r="AD147" s="2" t="str">
        <f t="shared" si="186"/>
        <v xml:space="preserve">66.53 Per Visit </v>
      </c>
      <c r="AE147" s="2" t="str">
        <f t="shared" si="187"/>
        <v xml:space="preserve">63.36 Per Visit </v>
      </c>
      <c r="AF147" s="2" t="str">
        <f t="shared" si="188"/>
        <v xml:space="preserve">63.36 Per Visit </v>
      </c>
      <c r="AG147" s="2" t="str">
        <f t="shared" si="189"/>
        <v xml:space="preserve">58.29 Per Visit </v>
      </c>
      <c r="AH147" s="2">
        <f t="shared" si="202"/>
        <v>128.982</v>
      </c>
      <c r="AI147" s="1" t="s">
        <v>196</v>
      </c>
      <c r="AJ147" s="1" t="s">
        <v>190</v>
      </c>
      <c r="AK147" s="1" t="s">
        <v>191</v>
      </c>
      <c r="AL147" s="2" t="str">
        <f t="shared" si="191"/>
        <v xml:space="preserve">63.36 Per Visit </v>
      </c>
      <c r="AM147" s="2" t="str">
        <f t="shared" si="192"/>
        <v xml:space="preserve">63.36 Per Visit </v>
      </c>
      <c r="AN147" s="1" t="s">
        <v>192</v>
      </c>
      <c r="AO147" s="1" t="s">
        <v>192</v>
      </c>
      <c r="AP147" s="1" t="s">
        <v>193</v>
      </c>
      <c r="AQ147" s="1" t="s">
        <v>194</v>
      </c>
      <c r="AR147" s="1" t="s">
        <v>63</v>
      </c>
      <c r="AS147" s="1" t="s">
        <v>195</v>
      </c>
      <c r="AT147" s="1" t="s">
        <v>195</v>
      </c>
      <c r="AU147" s="1">
        <v>158.3634375</v>
      </c>
      <c r="AV147" s="2">
        <f>M147</f>
        <v>0</v>
      </c>
      <c r="AW147" s="2" t="str">
        <f t="shared" si="194"/>
        <v xml:space="preserve">63.36 Per Visit </v>
      </c>
      <c r="AX147" s="2" t="str">
        <f t="shared" si="195"/>
        <v xml:space="preserve">60.19 Per Visit </v>
      </c>
      <c r="AY147" s="2" t="str">
        <f t="shared" ref="AY147:AY178" si="205">CONCATENATE(ROUND(L147*0.88,2)," ",K147)</f>
        <v xml:space="preserve">55.75 Per Visit </v>
      </c>
      <c r="AZ147" s="2" t="s">
        <v>196</v>
      </c>
      <c r="BA147" s="1" t="s">
        <v>198</v>
      </c>
      <c r="BB147" s="1" t="s">
        <v>198</v>
      </c>
      <c r="BC147" s="2">
        <v>0</v>
      </c>
      <c r="BD147" s="2">
        <v>0</v>
      </c>
      <c r="BE147" s="2">
        <v>0</v>
      </c>
      <c r="BF147" s="1" t="s">
        <v>199</v>
      </c>
      <c r="BG147" s="2" t="str">
        <f t="shared" si="197"/>
        <v xml:space="preserve">63.36 Per Visit </v>
      </c>
      <c r="BH147" s="2" t="str">
        <f t="shared" si="198"/>
        <v xml:space="preserve">60.19 Per Visit </v>
      </c>
      <c r="BI147" s="1" t="s">
        <v>63</v>
      </c>
      <c r="BJ147" s="1" t="s">
        <v>63</v>
      </c>
      <c r="BK147" s="2" t="str">
        <f t="shared" si="199"/>
        <v xml:space="preserve">60.19 Per Visit </v>
      </c>
      <c r="BL147" s="2" t="str">
        <f t="shared" si="200"/>
        <v xml:space="preserve">63.36 Per Visit </v>
      </c>
      <c r="BM147" s="1" t="s">
        <v>200</v>
      </c>
      <c r="BN147" s="1" t="s">
        <v>198</v>
      </c>
      <c r="BO147" s="1" t="s">
        <v>239</v>
      </c>
      <c r="BP147" s="2" t="s">
        <v>201</v>
      </c>
      <c r="BQ147" s="22"/>
    </row>
    <row r="148" spans="1:69" ht="20.100000000000001" customHeight="1" x14ac:dyDescent="0.2">
      <c r="A148" s="17">
        <f t="shared" si="203"/>
        <v>146</v>
      </c>
      <c r="B148" s="24">
        <v>90912</v>
      </c>
      <c r="C148" s="24">
        <v>4209091200</v>
      </c>
      <c r="D148" s="19" t="s">
        <v>240</v>
      </c>
      <c r="E148" s="18" t="s">
        <v>186</v>
      </c>
      <c r="F148" s="33">
        <v>274.44</v>
      </c>
      <c r="G148" s="24">
        <v>420</v>
      </c>
      <c r="H148" s="12">
        <v>0</v>
      </c>
      <c r="I148" s="24">
        <v>0</v>
      </c>
      <c r="J148" s="2">
        <f t="shared" si="204"/>
        <v>122.64948800000001</v>
      </c>
      <c r="K148" s="21" t="s">
        <v>91</v>
      </c>
      <c r="L148" s="1">
        <v>94.345759999999999</v>
      </c>
      <c r="M148" s="1">
        <v>0</v>
      </c>
      <c r="N148" s="2" t="str">
        <f>CONCATENATE(ROUND(42.16*1.8,2)," ",K148)</f>
        <v xml:space="preserve">75.89 Per Visit </v>
      </c>
      <c r="O148" s="2" t="str">
        <f t="shared" si="176"/>
        <v xml:space="preserve">94.35 Per Visit </v>
      </c>
      <c r="P148" s="1" t="s">
        <v>188</v>
      </c>
      <c r="Q148" s="2" t="str">
        <f t="shared" si="177"/>
        <v xml:space="preserve">94.35 Per Visit </v>
      </c>
      <c r="R148" s="2" t="str">
        <f t="shared" si="178"/>
        <v xml:space="preserve">103.78 Per Visit </v>
      </c>
      <c r="S148" s="2" t="str">
        <f t="shared" si="179"/>
        <v xml:space="preserve">94.35 Per Visit </v>
      </c>
      <c r="T148" s="1" t="s">
        <v>413</v>
      </c>
      <c r="U148" s="1"/>
      <c r="V148" s="1" t="s">
        <v>412</v>
      </c>
      <c r="W148" s="2" t="str">
        <f t="shared" si="180"/>
        <v xml:space="preserve">94.35 Per Visit </v>
      </c>
      <c r="X148" s="2" t="str">
        <f t="shared" si="181"/>
        <v xml:space="preserve">94.35 Per Visit </v>
      </c>
      <c r="Y148" s="2" t="str">
        <f t="shared" si="182"/>
        <v xml:space="preserve">94.35 Per Visit </v>
      </c>
      <c r="Z148" s="1" t="s">
        <v>189</v>
      </c>
      <c r="AA148" s="2" t="str">
        <f t="shared" si="183"/>
        <v xml:space="preserve">89.63 Per Visit </v>
      </c>
      <c r="AB148" s="2" t="str">
        <f t="shared" si="184"/>
        <v xml:space="preserve">89.63 Per Visit </v>
      </c>
      <c r="AC148" s="2" t="str">
        <f t="shared" si="185"/>
        <v xml:space="preserve">94.35 Per Visit </v>
      </c>
      <c r="AD148" s="2" t="str">
        <f t="shared" si="186"/>
        <v xml:space="preserve">99.06 Per Visit </v>
      </c>
      <c r="AE148" s="2" t="str">
        <f t="shared" si="187"/>
        <v xml:space="preserve">94.35 Per Visit </v>
      </c>
      <c r="AF148" s="2" t="str">
        <f t="shared" si="188"/>
        <v xml:space="preserve">94.35 Per Visit </v>
      </c>
      <c r="AG148" s="2" t="str">
        <f t="shared" si="189"/>
        <v xml:space="preserve">86.8 Per Visit </v>
      </c>
      <c r="AH148" s="2">
        <f t="shared" si="202"/>
        <v>192.10799999999998</v>
      </c>
      <c r="AI148" s="1" t="s">
        <v>196</v>
      </c>
      <c r="AJ148" s="1" t="s">
        <v>190</v>
      </c>
      <c r="AK148" s="1" t="s">
        <v>191</v>
      </c>
      <c r="AL148" s="2" t="str">
        <f t="shared" si="191"/>
        <v xml:space="preserve">94.35 Per Visit </v>
      </c>
      <c r="AM148" s="2" t="str">
        <f t="shared" si="192"/>
        <v xml:space="preserve">94.35 Per Visit </v>
      </c>
      <c r="AN148" s="1" t="s">
        <v>192</v>
      </c>
      <c r="AO148" s="1" t="s">
        <v>192</v>
      </c>
      <c r="AP148" s="1" t="s">
        <v>193</v>
      </c>
      <c r="AQ148" s="1" t="s">
        <v>194</v>
      </c>
      <c r="AR148" s="1" t="s">
        <v>63</v>
      </c>
      <c r="AS148" s="1" t="s">
        <v>195</v>
      </c>
      <c r="AT148" s="1" t="s">
        <v>195</v>
      </c>
      <c r="AU148" s="1">
        <v>158.3634375</v>
      </c>
      <c r="AV148" s="1" t="s">
        <v>220</v>
      </c>
      <c r="AW148" s="2" t="str">
        <f t="shared" si="194"/>
        <v xml:space="preserve">94.35 Per Visit </v>
      </c>
      <c r="AX148" s="2" t="str">
        <f t="shared" si="195"/>
        <v xml:space="preserve">89.63 Per Visit </v>
      </c>
      <c r="AY148" s="2" t="str">
        <f t="shared" si="205"/>
        <v xml:space="preserve">83.02 Per Visit </v>
      </c>
      <c r="AZ148" s="2" t="s">
        <v>196</v>
      </c>
      <c r="BA148" s="1" t="s">
        <v>198</v>
      </c>
      <c r="BB148" s="1" t="s">
        <v>198</v>
      </c>
      <c r="BC148" s="2">
        <v>0</v>
      </c>
      <c r="BD148" s="2">
        <v>0</v>
      </c>
      <c r="BE148" s="2">
        <v>0</v>
      </c>
      <c r="BF148" s="1" t="s">
        <v>199</v>
      </c>
      <c r="BG148" s="2" t="str">
        <f t="shared" si="197"/>
        <v xml:space="preserve">94.35 Per Visit </v>
      </c>
      <c r="BH148" s="2" t="str">
        <f t="shared" si="198"/>
        <v xml:space="preserve">89.63 Per Visit </v>
      </c>
      <c r="BI148" s="1" t="s">
        <v>63</v>
      </c>
      <c r="BJ148" s="1" t="s">
        <v>63</v>
      </c>
      <c r="BK148" s="2" t="str">
        <f t="shared" si="199"/>
        <v xml:space="preserve">89.63 Per Visit </v>
      </c>
      <c r="BL148" s="2" t="str">
        <f t="shared" si="200"/>
        <v xml:space="preserve">94.35 Per Visit </v>
      </c>
      <c r="BM148" s="1" t="s">
        <v>200</v>
      </c>
      <c r="BN148" s="1" t="s">
        <v>198</v>
      </c>
      <c r="BO148" s="2" t="str">
        <f>AY148</f>
        <v xml:space="preserve">83.02 Per Visit </v>
      </c>
      <c r="BP148" s="2">
        <f>AH148</f>
        <v>192.10799999999998</v>
      </c>
      <c r="BQ148" s="22"/>
    </row>
    <row r="149" spans="1:69" ht="20.100000000000001" customHeight="1" x14ac:dyDescent="0.2">
      <c r="A149" s="17">
        <f t="shared" si="203"/>
        <v>147</v>
      </c>
      <c r="B149" s="24">
        <v>97750</v>
      </c>
      <c r="C149" s="24">
        <v>4209775000</v>
      </c>
      <c r="D149" s="26" t="s">
        <v>241</v>
      </c>
      <c r="E149" s="18" t="s">
        <v>186</v>
      </c>
      <c r="F149" s="33">
        <v>114.81</v>
      </c>
      <c r="G149" s="24">
        <v>420</v>
      </c>
      <c r="H149" s="12">
        <v>0</v>
      </c>
      <c r="I149" s="24">
        <v>0</v>
      </c>
      <c r="J149" s="2">
        <f t="shared" si="204"/>
        <v>50.586639999999996</v>
      </c>
      <c r="K149" s="21" t="s">
        <v>91</v>
      </c>
      <c r="L149" s="1">
        <v>38.912799999999997</v>
      </c>
      <c r="M149" s="2">
        <v>11.514950000000001</v>
      </c>
      <c r="N149" s="2" t="str">
        <f>CONCATENATE(ROUND(22.66*1.8,2)," ",K149)</f>
        <v xml:space="preserve">40.79 Per Visit </v>
      </c>
      <c r="O149" s="2" t="str">
        <f t="shared" si="176"/>
        <v xml:space="preserve">38.91 Per Visit </v>
      </c>
      <c r="P149" s="1" t="s">
        <v>188</v>
      </c>
      <c r="Q149" s="2" t="str">
        <f t="shared" si="177"/>
        <v xml:space="preserve">38.91 Per Visit </v>
      </c>
      <c r="R149" s="2" t="str">
        <f t="shared" si="178"/>
        <v xml:space="preserve">42.8 Per Visit </v>
      </c>
      <c r="S149" s="2" t="str">
        <f t="shared" si="179"/>
        <v xml:space="preserve">38.91 Per Visit </v>
      </c>
      <c r="T149" s="1" t="s">
        <v>413</v>
      </c>
      <c r="U149" s="1"/>
      <c r="V149" s="1" t="s">
        <v>412</v>
      </c>
      <c r="W149" s="2" t="str">
        <f t="shared" si="180"/>
        <v xml:space="preserve">38.91 Per Visit </v>
      </c>
      <c r="X149" s="2" t="str">
        <f t="shared" si="181"/>
        <v xml:space="preserve">38.91 Per Visit </v>
      </c>
      <c r="Y149" s="2" t="str">
        <f t="shared" si="182"/>
        <v xml:space="preserve">38.91 Per Visit </v>
      </c>
      <c r="Z149" s="1" t="s">
        <v>189</v>
      </c>
      <c r="AA149" s="2" t="str">
        <f t="shared" si="183"/>
        <v xml:space="preserve">36.97 Per Visit </v>
      </c>
      <c r="AB149" s="2" t="str">
        <f t="shared" si="184"/>
        <v xml:space="preserve">36.97 Per Visit </v>
      </c>
      <c r="AC149" s="2" t="str">
        <f t="shared" si="185"/>
        <v xml:space="preserve">38.91 Per Visit </v>
      </c>
      <c r="AD149" s="2" t="str">
        <f t="shared" si="186"/>
        <v xml:space="preserve">40.86 Per Visit </v>
      </c>
      <c r="AE149" s="2" t="str">
        <f t="shared" si="187"/>
        <v xml:space="preserve">38.91 Per Visit </v>
      </c>
      <c r="AF149" s="2" t="str">
        <f t="shared" si="188"/>
        <v xml:space="preserve">38.91 Per Visit </v>
      </c>
      <c r="AG149" s="2" t="str">
        <f t="shared" si="189"/>
        <v xml:space="preserve">35.8 Per Visit </v>
      </c>
      <c r="AH149" s="2">
        <f t="shared" si="202"/>
        <v>80.36699999999999</v>
      </c>
      <c r="AI149" s="1" t="s">
        <v>196</v>
      </c>
      <c r="AJ149" s="1" t="s">
        <v>190</v>
      </c>
      <c r="AK149" s="1" t="s">
        <v>191</v>
      </c>
      <c r="AL149" s="2" t="str">
        <f t="shared" si="191"/>
        <v xml:space="preserve">38.91 Per Visit </v>
      </c>
      <c r="AM149" s="2" t="str">
        <f t="shared" si="192"/>
        <v xml:space="preserve">38.91 Per Visit </v>
      </c>
      <c r="AN149" s="1" t="s">
        <v>192</v>
      </c>
      <c r="AO149" s="1" t="s">
        <v>192</v>
      </c>
      <c r="AP149" s="1" t="s">
        <v>193</v>
      </c>
      <c r="AQ149" s="1" t="s">
        <v>194</v>
      </c>
      <c r="AR149" s="1" t="s">
        <v>63</v>
      </c>
      <c r="AS149" s="1" t="s">
        <v>195</v>
      </c>
      <c r="AT149" s="1" t="s">
        <v>195</v>
      </c>
      <c r="AU149" s="1">
        <v>158.3634375</v>
      </c>
      <c r="AV149" s="2" t="str">
        <f>CONCATENATE(ROUND(M149*1.1,2)," ",K149)</f>
        <v xml:space="preserve">12.67 Per Visit </v>
      </c>
      <c r="AW149" s="2" t="str">
        <f t="shared" si="194"/>
        <v xml:space="preserve">38.91 Per Visit </v>
      </c>
      <c r="AX149" s="2" t="str">
        <f t="shared" si="195"/>
        <v xml:space="preserve">36.97 Per Visit </v>
      </c>
      <c r="AY149" s="2" t="str">
        <f t="shared" si="205"/>
        <v xml:space="preserve">34.24 Per Visit </v>
      </c>
      <c r="AZ149" s="2" t="s">
        <v>196</v>
      </c>
      <c r="BA149" s="1" t="s">
        <v>198</v>
      </c>
      <c r="BB149" s="1" t="s">
        <v>198</v>
      </c>
      <c r="BC149" s="2">
        <v>0</v>
      </c>
      <c r="BD149" s="2">
        <v>0</v>
      </c>
      <c r="BE149" s="2">
        <v>0</v>
      </c>
      <c r="BF149" s="1" t="s">
        <v>199</v>
      </c>
      <c r="BG149" s="2" t="str">
        <f t="shared" si="197"/>
        <v xml:space="preserve">38.91 Per Visit </v>
      </c>
      <c r="BH149" s="2" t="str">
        <f t="shared" si="198"/>
        <v xml:space="preserve">36.97 Per Visit </v>
      </c>
      <c r="BI149" s="1" t="s">
        <v>63</v>
      </c>
      <c r="BJ149" s="1" t="s">
        <v>63</v>
      </c>
      <c r="BK149" s="2" t="str">
        <f t="shared" si="199"/>
        <v xml:space="preserve">36.97 Per Visit </v>
      </c>
      <c r="BL149" s="2" t="str">
        <f t="shared" si="200"/>
        <v xml:space="preserve">38.91 Per Visit </v>
      </c>
      <c r="BM149" s="1" t="s">
        <v>200</v>
      </c>
      <c r="BN149" s="1" t="s">
        <v>198</v>
      </c>
      <c r="BO149" s="2" t="str">
        <f>AV149</f>
        <v xml:space="preserve">12.67 Per Visit </v>
      </c>
      <c r="BP149" s="2" t="s">
        <v>201</v>
      </c>
      <c r="BQ149" s="22"/>
    </row>
    <row r="150" spans="1:69" ht="20.100000000000001" customHeight="1" x14ac:dyDescent="0.2">
      <c r="A150" s="17">
        <f t="shared" si="203"/>
        <v>148</v>
      </c>
      <c r="B150" s="24">
        <v>97034</v>
      </c>
      <c r="C150" s="24">
        <v>4209703400</v>
      </c>
      <c r="D150" s="26" t="s">
        <v>242</v>
      </c>
      <c r="E150" s="18" t="s">
        <v>186</v>
      </c>
      <c r="F150" s="33">
        <v>48.33</v>
      </c>
      <c r="G150" s="24">
        <v>420</v>
      </c>
      <c r="H150" s="12">
        <v>0</v>
      </c>
      <c r="I150" s="24">
        <v>0</v>
      </c>
      <c r="J150" s="2">
        <f t="shared" si="204"/>
        <v>21.859240000000003</v>
      </c>
      <c r="K150" s="21" t="s">
        <v>187</v>
      </c>
      <c r="L150" s="1">
        <v>16.814800000000002</v>
      </c>
      <c r="M150" s="2">
        <v>7.8401790000000009</v>
      </c>
      <c r="N150" s="2" t="str">
        <f>CONCATENATE(ROUND(11.98*1.8,2)," ",K150)</f>
        <v>21.56 Per 15 minutes</v>
      </c>
      <c r="O150" s="2" t="str">
        <f t="shared" si="176"/>
        <v>16.81 Per 15 minutes</v>
      </c>
      <c r="P150" s="1" t="s">
        <v>188</v>
      </c>
      <c r="Q150" s="2" t="str">
        <f t="shared" si="177"/>
        <v>16.81 Per 15 minutes</v>
      </c>
      <c r="R150" s="2" t="str">
        <f t="shared" si="178"/>
        <v>18.5 Per 15 minutes</v>
      </c>
      <c r="S150" s="2" t="str">
        <f t="shared" si="179"/>
        <v>16.81 Per 15 minutes</v>
      </c>
      <c r="T150" s="1" t="s">
        <v>413</v>
      </c>
      <c r="U150" s="1"/>
      <c r="V150" s="1" t="s">
        <v>412</v>
      </c>
      <c r="W150" s="2" t="str">
        <f t="shared" si="180"/>
        <v>16.81 Per 15 minutes</v>
      </c>
      <c r="X150" s="2" t="str">
        <f t="shared" si="181"/>
        <v>16.81 Per 15 minutes</v>
      </c>
      <c r="Y150" s="2" t="str">
        <f t="shared" si="182"/>
        <v>16.81 Per 15 minutes</v>
      </c>
      <c r="Z150" s="1" t="s">
        <v>189</v>
      </c>
      <c r="AA150" s="2" t="str">
        <f t="shared" si="183"/>
        <v>15.97 Per 15 minutes</v>
      </c>
      <c r="AB150" s="2" t="str">
        <f t="shared" si="184"/>
        <v>15.97 Per 15 minutes</v>
      </c>
      <c r="AC150" s="2" t="str">
        <f t="shared" si="185"/>
        <v>16.81 Per 15 minutes</v>
      </c>
      <c r="AD150" s="2" t="str">
        <f t="shared" si="186"/>
        <v>17.66 Per 15 minutes</v>
      </c>
      <c r="AE150" s="2" t="str">
        <f t="shared" si="187"/>
        <v>16.81 Per 15 minutes</v>
      </c>
      <c r="AF150" s="2" t="str">
        <f t="shared" si="188"/>
        <v>16.81 Per 15 minutes</v>
      </c>
      <c r="AG150" s="2" t="str">
        <f t="shared" si="189"/>
        <v>15.47 Per 15 minutes</v>
      </c>
      <c r="AH150" s="2">
        <f t="shared" si="202"/>
        <v>33.830999999999996</v>
      </c>
      <c r="AI150" s="1" t="s">
        <v>196</v>
      </c>
      <c r="AJ150" s="1" t="s">
        <v>190</v>
      </c>
      <c r="AK150" s="1" t="s">
        <v>191</v>
      </c>
      <c r="AL150" s="2" t="str">
        <f t="shared" si="191"/>
        <v>16.81 Per 15 minutes</v>
      </c>
      <c r="AM150" s="2" t="str">
        <f t="shared" si="192"/>
        <v>16.81 Per 15 minutes</v>
      </c>
      <c r="AN150" s="1" t="s">
        <v>192</v>
      </c>
      <c r="AO150" s="1" t="s">
        <v>192</v>
      </c>
      <c r="AP150" s="1" t="s">
        <v>193</v>
      </c>
      <c r="AQ150" s="1" t="s">
        <v>194</v>
      </c>
      <c r="AR150" s="1" t="s">
        <v>63</v>
      </c>
      <c r="AS150" s="1" t="s">
        <v>195</v>
      </c>
      <c r="AT150" s="1" t="s">
        <v>195</v>
      </c>
      <c r="AU150" s="1">
        <v>158.3634375</v>
      </c>
      <c r="AV150" s="2" t="str">
        <f>CONCATENATE(ROUND(M150*1.1,2)," ",K150)</f>
        <v>8.62 Per 15 minutes</v>
      </c>
      <c r="AW150" s="2" t="str">
        <f t="shared" si="194"/>
        <v>16.81 Per 15 minutes</v>
      </c>
      <c r="AX150" s="2" t="str">
        <f t="shared" si="195"/>
        <v>15.97 Per 15 minutes</v>
      </c>
      <c r="AY150" s="2" t="str">
        <f t="shared" si="205"/>
        <v>14.8 Per 15 minutes</v>
      </c>
      <c r="AZ150" s="2" t="s">
        <v>196</v>
      </c>
      <c r="BA150" s="1" t="s">
        <v>198</v>
      </c>
      <c r="BB150" s="1" t="s">
        <v>198</v>
      </c>
      <c r="BC150" s="2">
        <v>0</v>
      </c>
      <c r="BD150" s="2">
        <v>0</v>
      </c>
      <c r="BE150" s="2">
        <v>0</v>
      </c>
      <c r="BF150" s="1" t="s">
        <v>199</v>
      </c>
      <c r="BG150" s="2" t="str">
        <f t="shared" si="197"/>
        <v>16.81 Per 15 minutes</v>
      </c>
      <c r="BH150" s="2" t="str">
        <f t="shared" si="198"/>
        <v>15.97 Per 15 minutes</v>
      </c>
      <c r="BI150" s="1" t="s">
        <v>63</v>
      </c>
      <c r="BJ150" s="1" t="s">
        <v>63</v>
      </c>
      <c r="BK150" s="2" t="str">
        <f t="shared" si="199"/>
        <v>15.97 Per 15 minutes</v>
      </c>
      <c r="BL150" s="2" t="str">
        <f t="shared" si="200"/>
        <v>16.81 Per 15 minutes</v>
      </c>
      <c r="BM150" s="1" t="s">
        <v>200</v>
      </c>
      <c r="BN150" s="1" t="s">
        <v>198</v>
      </c>
      <c r="BO150" s="2" t="str">
        <f>AV150</f>
        <v>8.62 Per 15 minutes</v>
      </c>
      <c r="BP150" s="2" t="s">
        <v>201</v>
      </c>
      <c r="BQ150" s="22"/>
    </row>
    <row r="151" spans="1:69" ht="20.100000000000001" customHeight="1" x14ac:dyDescent="0.2">
      <c r="A151" s="17">
        <f t="shared" si="203"/>
        <v>149</v>
      </c>
      <c r="B151" s="24">
        <v>97034</v>
      </c>
      <c r="C151" s="24">
        <v>4309703400</v>
      </c>
      <c r="D151" s="26" t="s">
        <v>243</v>
      </c>
      <c r="E151" s="18" t="s">
        <v>186</v>
      </c>
      <c r="F151" s="33">
        <v>48.33</v>
      </c>
      <c r="G151" s="24">
        <v>430</v>
      </c>
      <c r="H151" s="12">
        <v>0</v>
      </c>
      <c r="I151" s="24">
        <v>0</v>
      </c>
      <c r="J151" s="2">
        <f t="shared" si="204"/>
        <v>21.859240000000003</v>
      </c>
      <c r="K151" s="21" t="s">
        <v>187</v>
      </c>
      <c r="L151" s="1">
        <v>16.814800000000002</v>
      </c>
      <c r="M151" s="2">
        <v>7.8401790000000009</v>
      </c>
      <c r="N151" s="2" t="str">
        <f>CONCATENATE(ROUND(11.98*1.8,2)," ",K151)</f>
        <v>21.56 Per 15 minutes</v>
      </c>
      <c r="O151" s="2" t="str">
        <f t="shared" si="176"/>
        <v>16.81 Per 15 minutes</v>
      </c>
      <c r="P151" s="1" t="s">
        <v>188</v>
      </c>
      <c r="Q151" s="2" t="str">
        <f t="shared" si="177"/>
        <v>16.81 Per 15 minutes</v>
      </c>
      <c r="R151" s="2" t="str">
        <f t="shared" si="178"/>
        <v>18.5 Per 15 minutes</v>
      </c>
      <c r="S151" s="2" t="str">
        <f t="shared" si="179"/>
        <v>16.81 Per 15 minutes</v>
      </c>
      <c r="T151" s="1" t="s">
        <v>413</v>
      </c>
      <c r="U151" s="1"/>
      <c r="V151" s="1" t="s">
        <v>412</v>
      </c>
      <c r="W151" s="2" t="str">
        <f t="shared" si="180"/>
        <v>16.81 Per 15 minutes</v>
      </c>
      <c r="X151" s="2" t="str">
        <f t="shared" si="181"/>
        <v>16.81 Per 15 minutes</v>
      </c>
      <c r="Y151" s="2" t="str">
        <f t="shared" si="182"/>
        <v>16.81 Per 15 minutes</v>
      </c>
      <c r="Z151" s="1" t="s">
        <v>189</v>
      </c>
      <c r="AA151" s="2" t="str">
        <f t="shared" si="183"/>
        <v>15.97 Per 15 minutes</v>
      </c>
      <c r="AB151" s="2" t="str">
        <f t="shared" si="184"/>
        <v>15.97 Per 15 minutes</v>
      </c>
      <c r="AC151" s="2" t="str">
        <f t="shared" si="185"/>
        <v>16.81 Per 15 minutes</v>
      </c>
      <c r="AD151" s="2" t="str">
        <f t="shared" si="186"/>
        <v>17.66 Per 15 minutes</v>
      </c>
      <c r="AE151" s="2" t="str">
        <f t="shared" si="187"/>
        <v>16.81 Per 15 minutes</v>
      </c>
      <c r="AF151" s="2" t="str">
        <f t="shared" si="188"/>
        <v>16.81 Per 15 minutes</v>
      </c>
      <c r="AG151" s="2" t="str">
        <f t="shared" si="189"/>
        <v>15.47 Per 15 minutes</v>
      </c>
      <c r="AH151" s="2">
        <f t="shared" si="202"/>
        <v>33.830999999999996</v>
      </c>
      <c r="AI151" s="1" t="s">
        <v>196</v>
      </c>
      <c r="AJ151" s="1" t="s">
        <v>190</v>
      </c>
      <c r="AK151" s="1" t="s">
        <v>191</v>
      </c>
      <c r="AL151" s="2" t="str">
        <f t="shared" si="191"/>
        <v>16.81 Per 15 minutes</v>
      </c>
      <c r="AM151" s="2" t="str">
        <f t="shared" si="192"/>
        <v>16.81 Per 15 minutes</v>
      </c>
      <c r="AN151" s="1" t="s">
        <v>192</v>
      </c>
      <c r="AO151" s="1" t="s">
        <v>192</v>
      </c>
      <c r="AP151" s="1" t="s">
        <v>193</v>
      </c>
      <c r="AQ151" s="1" t="s">
        <v>194</v>
      </c>
      <c r="AR151" s="1" t="s">
        <v>63</v>
      </c>
      <c r="AS151" s="1" t="s">
        <v>195</v>
      </c>
      <c r="AT151" s="1" t="s">
        <v>195</v>
      </c>
      <c r="AU151" s="1">
        <v>158.3634375</v>
      </c>
      <c r="AV151" s="2" t="str">
        <f>CONCATENATE(ROUND(M151*1.1,2)," ",K151)</f>
        <v>8.62 Per 15 minutes</v>
      </c>
      <c r="AW151" s="2" t="str">
        <f t="shared" si="194"/>
        <v>16.81 Per 15 minutes</v>
      </c>
      <c r="AX151" s="2" t="str">
        <f t="shared" si="195"/>
        <v>15.97 Per 15 minutes</v>
      </c>
      <c r="AY151" s="2" t="str">
        <f t="shared" si="205"/>
        <v>14.8 Per 15 minutes</v>
      </c>
      <c r="AZ151" s="2" t="s">
        <v>196</v>
      </c>
      <c r="BA151" s="1" t="s">
        <v>198</v>
      </c>
      <c r="BB151" s="1" t="s">
        <v>198</v>
      </c>
      <c r="BC151" s="2">
        <v>0</v>
      </c>
      <c r="BD151" s="2">
        <v>0</v>
      </c>
      <c r="BE151" s="2">
        <v>0</v>
      </c>
      <c r="BF151" s="1" t="s">
        <v>199</v>
      </c>
      <c r="BG151" s="2" t="str">
        <f t="shared" si="197"/>
        <v>16.81 Per 15 minutes</v>
      </c>
      <c r="BH151" s="2" t="str">
        <f t="shared" si="198"/>
        <v>15.97 Per 15 minutes</v>
      </c>
      <c r="BI151" s="1" t="s">
        <v>63</v>
      </c>
      <c r="BJ151" s="1" t="s">
        <v>63</v>
      </c>
      <c r="BK151" s="2" t="str">
        <f t="shared" si="199"/>
        <v>15.97 Per 15 minutes</v>
      </c>
      <c r="BL151" s="2" t="str">
        <f t="shared" si="200"/>
        <v>16.81 Per 15 minutes</v>
      </c>
      <c r="BM151" s="1" t="s">
        <v>200</v>
      </c>
      <c r="BN151" s="1" t="s">
        <v>198</v>
      </c>
      <c r="BO151" s="2" t="str">
        <f>AV151</f>
        <v>8.62 Per 15 minutes</v>
      </c>
      <c r="BP151" s="2" t="s">
        <v>201</v>
      </c>
      <c r="BQ151" s="22"/>
    </row>
    <row r="152" spans="1:69" ht="20.100000000000001" customHeight="1" x14ac:dyDescent="0.2">
      <c r="A152" s="17">
        <f t="shared" si="203"/>
        <v>150</v>
      </c>
      <c r="B152" s="24">
        <v>97110</v>
      </c>
      <c r="C152" s="24">
        <v>4209711000</v>
      </c>
      <c r="D152" s="19" t="s">
        <v>244</v>
      </c>
      <c r="E152" s="24" t="s">
        <v>186</v>
      </c>
      <c r="F152" s="33">
        <v>99.15</v>
      </c>
      <c r="G152" s="24">
        <v>420</v>
      </c>
      <c r="H152" s="12">
        <v>0</v>
      </c>
      <c r="I152" s="24">
        <v>0</v>
      </c>
      <c r="J152" s="2">
        <v>120</v>
      </c>
      <c r="K152" s="21" t="s">
        <v>187</v>
      </c>
      <c r="L152" s="2">
        <v>33.914080000000006</v>
      </c>
      <c r="M152" s="2">
        <v>10.974248000000001</v>
      </c>
      <c r="N152" s="2" t="str">
        <f>CONCATENATE(ROUND(21.53*1.8,2)," ",K152)</f>
        <v>38.75 Per 15 minutes</v>
      </c>
      <c r="O152" s="2" t="str">
        <f t="shared" si="176"/>
        <v>33.91 Per 15 minutes</v>
      </c>
      <c r="P152" s="1" t="s">
        <v>188</v>
      </c>
      <c r="Q152" s="2" t="str">
        <f t="shared" si="177"/>
        <v>33.91 Per 15 minutes</v>
      </c>
      <c r="R152" s="2" t="str">
        <f t="shared" si="178"/>
        <v>37.31 Per 15 minutes</v>
      </c>
      <c r="S152" s="2" t="str">
        <f t="shared" si="179"/>
        <v>33.91 Per 15 minutes</v>
      </c>
      <c r="T152" s="1" t="s">
        <v>413</v>
      </c>
      <c r="U152" s="1"/>
      <c r="V152" s="1" t="s">
        <v>412</v>
      </c>
      <c r="W152" s="2" t="str">
        <f t="shared" si="180"/>
        <v>33.91 Per 15 minutes</v>
      </c>
      <c r="X152" s="2" t="str">
        <f t="shared" si="181"/>
        <v>33.91 Per 15 minutes</v>
      </c>
      <c r="Y152" s="2" t="str">
        <f t="shared" si="182"/>
        <v>33.91 Per 15 minutes</v>
      </c>
      <c r="Z152" s="1" t="s">
        <v>189</v>
      </c>
      <c r="AA152" s="2" t="str">
        <f t="shared" si="183"/>
        <v>32.22 Per 15 minutes</v>
      </c>
      <c r="AB152" s="2" t="str">
        <f t="shared" si="184"/>
        <v>32.22 Per 15 minutes</v>
      </c>
      <c r="AC152" s="2" t="str">
        <f t="shared" si="185"/>
        <v>33.91 Per 15 minutes</v>
      </c>
      <c r="AD152" s="2" t="str">
        <f t="shared" si="186"/>
        <v>35.61 Per 15 minutes</v>
      </c>
      <c r="AE152" s="2" t="str">
        <f t="shared" si="187"/>
        <v>33.91 Per 15 minutes</v>
      </c>
      <c r="AF152" s="2" t="str">
        <f t="shared" si="188"/>
        <v>33.91 Per 15 minutes</v>
      </c>
      <c r="AG152" s="2" t="str">
        <f t="shared" si="189"/>
        <v>31.2 Per 15 minutes</v>
      </c>
      <c r="AH152" s="2">
        <f t="shared" si="202"/>
        <v>69.405000000000001</v>
      </c>
      <c r="AI152" s="1" t="s">
        <v>196</v>
      </c>
      <c r="AJ152" s="1" t="s">
        <v>190</v>
      </c>
      <c r="AK152" s="1" t="s">
        <v>191</v>
      </c>
      <c r="AL152" s="2" t="str">
        <f t="shared" si="191"/>
        <v>33.91 Per 15 minutes</v>
      </c>
      <c r="AM152" s="2" t="str">
        <f t="shared" si="192"/>
        <v>33.91 Per 15 minutes</v>
      </c>
      <c r="AN152" s="1" t="s">
        <v>192</v>
      </c>
      <c r="AO152" s="1" t="s">
        <v>192</v>
      </c>
      <c r="AP152" s="1" t="s">
        <v>193</v>
      </c>
      <c r="AQ152" s="1" t="s">
        <v>194</v>
      </c>
      <c r="AR152" s="1" t="s">
        <v>63</v>
      </c>
      <c r="AS152" s="1" t="s">
        <v>204</v>
      </c>
      <c r="AT152" s="1" t="s">
        <v>190</v>
      </c>
      <c r="AU152" s="1">
        <v>158.3634375</v>
      </c>
      <c r="AV152" s="2" t="str">
        <f>CONCATENATE(ROUND(M152*1.1,2)," ",K152)</f>
        <v>12.07 Per 15 minutes</v>
      </c>
      <c r="AW152" s="2" t="str">
        <f t="shared" si="194"/>
        <v>33.91 Per 15 minutes</v>
      </c>
      <c r="AX152" s="2" t="str">
        <f t="shared" si="195"/>
        <v>32.22 Per 15 minutes</v>
      </c>
      <c r="AY152" s="2" t="str">
        <f t="shared" si="205"/>
        <v>29.84 Per 15 minutes</v>
      </c>
      <c r="AZ152" s="2" t="s">
        <v>196</v>
      </c>
      <c r="BA152" s="1" t="s">
        <v>198</v>
      </c>
      <c r="BB152" s="1" t="s">
        <v>198</v>
      </c>
      <c r="BC152" s="2">
        <v>0</v>
      </c>
      <c r="BD152" s="2">
        <v>0</v>
      </c>
      <c r="BE152" s="2">
        <v>0</v>
      </c>
      <c r="BF152" s="1" t="s">
        <v>199</v>
      </c>
      <c r="BG152" s="2" t="str">
        <f t="shared" si="197"/>
        <v>33.91 Per 15 minutes</v>
      </c>
      <c r="BH152" s="2" t="str">
        <f t="shared" si="198"/>
        <v>32.22 Per 15 minutes</v>
      </c>
      <c r="BI152" s="1" t="s">
        <v>63</v>
      </c>
      <c r="BJ152" s="1" t="s">
        <v>63</v>
      </c>
      <c r="BK152" s="2" t="str">
        <f t="shared" si="199"/>
        <v>32.22 Per 15 minutes</v>
      </c>
      <c r="BL152" s="2" t="str">
        <f t="shared" si="200"/>
        <v>33.91 Per 15 minutes</v>
      </c>
      <c r="BM152" s="1" t="s">
        <v>200</v>
      </c>
      <c r="BN152" s="1" t="s">
        <v>198</v>
      </c>
      <c r="BO152" s="2" t="str">
        <f>AV152</f>
        <v>12.07 Per 15 minutes</v>
      </c>
      <c r="BP152" s="2" t="s">
        <v>201</v>
      </c>
      <c r="BQ152" s="22"/>
    </row>
    <row r="153" spans="1:69" ht="20.100000000000001" customHeight="1" x14ac:dyDescent="0.2">
      <c r="A153" s="17">
        <f t="shared" si="203"/>
        <v>151</v>
      </c>
      <c r="B153" s="24">
        <v>92607</v>
      </c>
      <c r="C153" s="24">
        <v>4449260700</v>
      </c>
      <c r="D153" s="19" t="s">
        <v>245</v>
      </c>
      <c r="E153" s="18" t="s">
        <v>186</v>
      </c>
      <c r="F153" s="33">
        <v>416.34</v>
      </c>
      <c r="G153" s="24">
        <v>444</v>
      </c>
      <c r="H153" s="12">
        <v>0</v>
      </c>
      <c r="I153" s="24">
        <v>0</v>
      </c>
      <c r="J153" s="2">
        <v>400</v>
      </c>
      <c r="K153" s="21" t="s">
        <v>246</v>
      </c>
      <c r="L153" s="1">
        <v>143.23568</v>
      </c>
      <c r="M153" s="2">
        <v>96.094761000000005</v>
      </c>
      <c r="N153" s="2" t="str">
        <f>CONCATENATE(ROUND(175.79*1.8,2)," ",K153)</f>
        <v>316.42 Per 60 minutes</v>
      </c>
      <c r="O153" s="2" t="str">
        <f t="shared" si="176"/>
        <v>143.24 Per 60 minutes</v>
      </c>
      <c r="P153" s="1" t="s">
        <v>188</v>
      </c>
      <c r="Q153" s="2" t="str">
        <f t="shared" si="177"/>
        <v>143.24 Per 60 minutes</v>
      </c>
      <c r="R153" s="2" t="str">
        <f t="shared" si="178"/>
        <v>157.56 Per 60 minutes</v>
      </c>
      <c r="S153" s="2" t="str">
        <f t="shared" si="179"/>
        <v>143.24 Per 60 minutes</v>
      </c>
      <c r="T153" s="1" t="s">
        <v>413</v>
      </c>
      <c r="U153" s="1"/>
      <c r="V153" s="1" t="s">
        <v>412</v>
      </c>
      <c r="W153" s="2" t="str">
        <f t="shared" si="180"/>
        <v>143.24 Per 60 minutes</v>
      </c>
      <c r="X153" s="2" t="str">
        <f t="shared" si="181"/>
        <v>143.24 Per 60 minutes</v>
      </c>
      <c r="Y153" s="2" t="str">
        <f t="shared" si="182"/>
        <v>143.24 Per 60 minutes</v>
      </c>
      <c r="Z153" s="1" t="s">
        <v>189</v>
      </c>
      <c r="AA153" s="2" t="str">
        <f t="shared" si="183"/>
        <v>136.07 Per 60 minutes</v>
      </c>
      <c r="AB153" s="2" t="str">
        <f t="shared" si="184"/>
        <v>136.07 Per 60 minutes</v>
      </c>
      <c r="AC153" s="2" t="str">
        <f t="shared" si="185"/>
        <v>143.24 Per 60 minutes</v>
      </c>
      <c r="AD153" s="2" t="str">
        <f t="shared" si="186"/>
        <v>150.4 Per 60 minutes</v>
      </c>
      <c r="AE153" s="2" t="str">
        <f t="shared" si="187"/>
        <v>143.24 Per 60 minutes</v>
      </c>
      <c r="AF153" s="2" t="str">
        <f t="shared" si="188"/>
        <v>143.24 Per 60 minutes</v>
      </c>
      <c r="AG153" s="2" t="str">
        <f t="shared" si="189"/>
        <v>131.78 Per 60 minutes</v>
      </c>
      <c r="AH153" s="2">
        <f t="shared" si="202"/>
        <v>291.43799999999999</v>
      </c>
      <c r="AI153" s="1" t="s">
        <v>196</v>
      </c>
      <c r="AJ153" s="1" t="s">
        <v>190</v>
      </c>
      <c r="AK153" s="1" t="s">
        <v>191</v>
      </c>
      <c r="AL153" s="2" t="str">
        <f t="shared" si="191"/>
        <v>143.24 Per 60 minutes</v>
      </c>
      <c r="AM153" s="2" t="str">
        <f t="shared" si="192"/>
        <v>143.24 Per 60 minutes</v>
      </c>
      <c r="AN153" s="1" t="s">
        <v>192</v>
      </c>
      <c r="AO153" s="1" t="s">
        <v>192</v>
      </c>
      <c r="AP153" s="1" t="s">
        <v>193</v>
      </c>
      <c r="AQ153" s="1" t="s">
        <v>194</v>
      </c>
      <c r="AR153" s="1" t="s">
        <v>63</v>
      </c>
      <c r="AS153" s="1" t="s">
        <v>195</v>
      </c>
      <c r="AT153" s="1" t="s">
        <v>195</v>
      </c>
      <c r="AU153" s="1">
        <v>158.3634375</v>
      </c>
      <c r="AV153" s="2" t="str">
        <f>CONCATENATE(ROUND(M153*1.1,2)," ",K153)</f>
        <v>105.7 Per 60 minutes</v>
      </c>
      <c r="AW153" s="2" t="str">
        <f t="shared" si="194"/>
        <v>143.24 Per 60 minutes</v>
      </c>
      <c r="AX153" s="2" t="str">
        <f t="shared" si="195"/>
        <v>136.07 Per 60 minutes</v>
      </c>
      <c r="AY153" s="2" t="str">
        <f t="shared" si="205"/>
        <v>126.05 Per 60 minutes</v>
      </c>
      <c r="AZ153" s="2" t="s">
        <v>196</v>
      </c>
      <c r="BA153" s="1" t="s">
        <v>198</v>
      </c>
      <c r="BB153" s="1" t="s">
        <v>198</v>
      </c>
      <c r="BC153" s="2">
        <v>0</v>
      </c>
      <c r="BD153" s="2">
        <v>0</v>
      </c>
      <c r="BE153" s="2">
        <v>0</v>
      </c>
      <c r="BF153" s="1" t="s">
        <v>199</v>
      </c>
      <c r="BG153" s="2" t="str">
        <f t="shared" si="197"/>
        <v>143.24 Per 60 minutes</v>
      </c>
      <c r="BH153" s="2" t="str">
        <f t="shared" si="198"/>
        <v>136.07 Per 60 minutes</v>
      </c>
      <c r="BI153" s="1" t="s">
        <v>63</v>
      </c>
      <c r="BJ153" s="1" t="s">
        <v>63</v>
      </c>
      <c r="BK153" s="2" t="str">
        <f t="shared" si="199"/>
        <v>136.07 Per 60 minutes</v>
      </c>
      <c r="BL153" s="2" t="str">
        <f t="shared" si="200"/>
        <v>143.24 Per 60 minutes</v>
      </c>
      <c r="BM153" s="1" t="s">
        <v>200</v>
      </c>
      <c r="BN153" s="1" t="s">
        <v>198</v>
      </c>
      <c r="BO153" s="2" t="str">
        <f>AV153</f>
        <v>105.7 Per 60 minutes</v>
      </c>
      <c r="BP153" s="2" t="str">
        <f>N153</f>
        <v>316.42 Per 60 minutes</v>
      </c>
      <c r="BQ153" s="22"/>
    </row>
    <row r="154" spans="1:69" ht="20.100000000000001" customHeight="1" x14ac:dyDescent="0.2">
      <c r="A154" s="17">
        <f t="shared" si="203"/>
        <v>152</v>
      </c>
      <c r="B154" s="17">
        <v>871</v>
      </c>
      <c r="C154" s="18" t="s">
        <v>64</v>
      </c>
      <c r="D154" s="19" t="s">
        <v>247</v>
      </c>
      <c r="E154" s="18" t="s">
        <v>248</v>
      </c>
      <c r="F154" s="8">
        <v>47443.086320754723</v>
      </c>
      <c r="G154" s="18" t="s">
        <v>64</v>
      </c>
      <c r="H154" s="12">
        <v>0</v>
      </c>
      <c r="I154" s="24">
        <v>5</v>
      </c>
      <c r="J154" s="2">
        <f t="shared" ref="J154:J192" si="206">L154*1.3</f>
        <v>19566.080247999998</v>
      </c>
      <c r="K154" s="21" t="s">
        <v>249</v>
      </c>
      <c r="L154" s="1">
        <v>15050.830959999999</v>
      </c>
      <c r="M154" s="1">
        <v>20461.505422000002</v>
      </c>
      <c r="N154" s="1">
        <f>1.8663*10804.5</f>
        <v>20164.43835</v>
      </c>
      <c r="O154" s="2">
        <f t="shared" ref="O154:O192" si="207">L154</f>
        <v>15050.830959999999</v>
      </c>
      <c r="P154" s="2">
        <f>1.25*L154</f>
        <v>18813.538699999997</v>
      </c>
      <c r="Q154" s="1">
        <v>0</v>
      </c>
      <c r="R154" s="1">
        <v>0</v>
      </c>
      <c r="S154" s="2">
        <f t="shared" ref="S154:S192" si="208">L154</f>
        <v>15050.830959999999</v>
      </c>
      <c r="T154" s="1">
        <f t="shared" ref="T154:T168" si="209">4448*I154</f>
        <v>22240</v>
      </c>
      <c r="U154" s="1"/>
      <c r="V154" s="13">
        <f>1.9572*10568</f>
        <v>20683.689600000002</v>
      </c>
      <c r="W154" s="2">
        <f t="shared" ref="W154:W192" si="210">L154</f>
        <v>15050.830959999999</v>
      </c>
      <c r="X154" s="1">
        <f>L154</f>
        <v>15050.830959999999</v>
      </c>
      <c r="Y154" s="2">
        <f t="shared" ref="Y154:Y192" si="211">L154</f>
        <v>15050.830959999999</v>
      </c>
      <c r="Z154" s="1">
        <f>2202*I154</f>
        <v>11010</v>
      </c>
      <c r="AA154" s="1">
        <f t="shared" ref="AA154:AA192" si="212">L154*0.95</f>
        <v>14298.289411999998</v>
      </c>
      <c r="AB154" s="1">
        <f t="shared" ref="AB154:AB192" si="213">L154*0.9</f>
        <v>13545.747863999999</v>
      </c>
      <c r="AC154" s="1">
        <v>0</v>
      </c>
      <c r="AD154" s="1">
        <v>0</v>
      </c>
      <c r="AE154" s="2">
        <f t="shared" ref="AE154:AE192" si="214">L154</f>
        <v>15050.830959999999</v>
      </c>
      <c r="AF154" s="2">
        <f t="shared" ref="AF154:AF192" si="215">L154</f>
        <v>15050.830959999999</v>
      </c>
      <c r="AG154" s="1">
        <v>0</v>
      </c>
      <c r="AH154" s="1">
        <f t="shared" si="202"/>
        <v>33210.160424528302</v>
      </c>
      <c r="AI154" s="1">
        <f>L154*1.1</f>
        <v>16555.914056000001</v>
      </c>
      <c r="AJ154" s="2">
        <f>L154</f>
        <v>15050.830959999999</v>
      </c>
      <c r="AK154" s="1">
        <f t="shared" ref="AK154:AK192" si="216">L154*1.37</f>
        <v>20619.638415199999</v>
      </c>
      <c r="AL154" s="2">
        <f t="shared" ref="AL154:AL192" si="217">L154</f>
        <v>15050.830959999999</v>
      </c>
      <c r="AM154" s="2">
        <f t="shared" ref="AM154:AM192" si="218">L154</f>
        <v>15050.830959999999</v>
      </c>
      <c r="AN154" s="2">
        <f t="shared" ref="AN154:AN192" si="219">L154*1.1</f>
        <v>16555.914056000001</v>
      </c>
      <c r="AO154" s="2">
        <f t="shared" ref="AO154:AO192" si="220">L154</f>
        <v>15050.830959999999</v>
      </c>
      <c r="AP154" s="2">
        <f t="shared" ref="AP154:AP192" si="221">M154</f>
        <v>20461.505422000002</v>
      </c>
      <c r="AQ154" s="2">
        <f t="shared" ref="AQ154:AQ192" si="222">L154</f>
        <v>15050.830959999999</v>
      </c>
      <c r="AR154" s="1">
        <f t="shared" ref="AR154:AR192" si="223">F154*0.5</f>
        <v>23721.543160377361</v>
      </c>
      <c r="AS154" s="1">
        <f t="shared" ref="AS154:AS192" si="224">M154</f>
        <v>20461.505422000002</v>
      </c>
      <c r="AT154" s="2">
        <f t="shared" ref="AT154:AT192" si="225">L154</f>
        <v>15050.830959999999</v>
      </c>
      <c r="AU154" s="1">
        <v>14812.260187500002</v>
      </c>
      <c r="AV154" s="2">
        <f t="shared" ref="AV154:AV192" si="226">M154*1.1</f>
        <v>22507.655964200003</v>
      </c>
      <c r="AW154" s="2">
        <f t="shared" ref="AW154:AW192" si="227">L154</f>
        <v>15050.830959999999</v>
      </c>
      <c r="AX154" s="1">
        <f t="shared" ref="AX154:AX192" si="228">L154*0.95</f>
        <v>14298.289411999998</v>
      </c>
      <c r="AY154" s="2" t="str">
        <f t="shared" si="205"/>
        <v>13244.73 IPPS</v>
      </c>
      <c r="AZ154" s="1">
        <v>0</v>
      </c>
      <c r="BA154" s="1">
        <v>0</v>
      </c>
      <c r="BB154" s="1">
        <v>0</v>
      </c>
      <c r="BC154" s="1">
        <f>L154</f>
        <v>15050.830959999999</v>
      </c>
      <c r="BD154" s="1">
        <f>L154*1.1</f>
        <v>16555.914056000001</v>
      </c>
      <c r="BE154" s="1">
        <f>L154*0.9</f>
        <v>13545.747863999999</v>
      </c>
      <c r="BF154" s="1">
        <v>0</v>
      </c>
      <c r="BG154" s="1">
        <v>0</v>
      </c>
      <c r="BH154" s="1">
        <v>0</v>
      </c>
      <c r="BI154" s="2">
        <f t="shared" ref="BI154:BI192" si="229">L154*1.2</f>
        <v>18060.997152</v>
      </c>
      <c r="BJ154" s="2">
        <f t="shared" ref="BJ154:BJ192" si="230">L154</f>
        <v>15050.830959999999</v>
      </c>
      <c r="BK154" s="2">
        <f t="shared" ref="BK154:BK192" si="231">L154*0.95</f>
        <v>14298.289411999998</v>
      </c>
      <c r="BL154" s="2">
        <f t="shared" ref="BL154:BL192" si="232">L154</f>
        <v>15050.830959999999</v>
      </c>
      <c r="BM154" s="13">
        <f>1.9572*10145</f>
        <v>19855.794000000002</v>
      </c>
      <c r="BN154" s="2">
        <f t="shared" ref="BN154:BN192" si="233">L154</f>
        <v>15050.830959999999</v>
      </c>
      <c r="BO154" s="2">
        <f t="shared" ref="BO154:BO192" si="234">MIN(N154:BN154)</f>
        <v>0</v>
      </c>
      <c r="BP154" s="2">
        <f t="shared" ref="BP154:BP185" si="235">MAX(N154:BN154)</f>
        <v>33210.160424528302</v>
      </c>
      <c r="BQ154" s="22"/>
    </row>
    <row r="155" spans="1:69" ht="20.100000000000001" customHeight="1" x14ac:dyDescent="0.2">
      <c r="A155" s="17">
        <f t="shared" si="203"/>
        <v>153</v>
      </c>
      <c r="B155" s="17">
        <v>291</v>
      </c>
      <c r="C155" s="18" t="s">
        <v>64</v>
      </c>
      <c r="D155" s="19" t="s">
        <v>250</v>
      </c>
      <c r="E155" s="18" t="s">
        <v>248</v>
      </c>
      <c r="F155" s="8">
        <v>37667.887666666662</v>
      </c>
      <c r="G155" s="18" t="s">
        <v>64</v>
      </c>
      <c r="H155" s="12">
        <v>0</v>
      </c>
      <c r="I155" s="24">
        <v>4</v>
      </c>
      <c r="J155" s="2">
        <f t="shared" si="206"/>
        <v>14107.306304</v>
      </c>
      <c r="K155" s="21" t="s">
        <v>249</v>
      </c>
      <c r="L155" s="1">
        <v>10851.774079999999</v>
      </c>
      <c r="M155" s="1">
        <v>3814.382259</v>
      </c>
      <c r="N155" s="1">
        <f>1.2915*10804.5</f>
        <v>13954.011750000001</v>
      </c>
      <c r="O155" s="2">
        <f t="shared" si="207"/>
        <v>10851.774079999999</v>
      </c>
      <c r="P155" s="2">
        <f t="shared" ref="P155:P165" si="236">1.25*L155</f>
        <v>13564.7176</v>
      </c>
      <c r="Q155" s="1">
        <v>0</v>
      </c>
      <c r="R155" s="1">
        <v>0</v>
      </c>
      <c r="S155" s="2">
        <f t="shared" si="208"/>
        <v>10851.774079999999</v>
      </c>
      <c r="T155" s="1">
        <f t="shared" si="209"/>
        <v>17792</v>
      </c>
      <c r="U155" s="1"/>
      <c r="V155" s="13">
        <f>1.2798*10568</f>
        <v>13524.9264</v>
      </c>
      <c r="W155" s="2">
        <f t="shared" si="210"/>
        <v>10851.774079999999</v>
      </c>
      <c r="X155" s="1">
        <f>L155</f>
        <v>10851.774079999999</v>
      </c>
      <c r="Y155" s="2">
        <f t="shared" si="211"/>
        <v>10851.774079999999</v>
      </c>
      <c r="Z155" s="1">
        <f>2202*I155</f>
        <v>8808</v>
      </c>
      <c r="AA155" s="1">
        <f t="shared" si="212"/>
        <v>10309.185375999999</v>
      </c>
      <c r="AB155" s="1">
        <f t="shared" si="213"/>
        <v>9766.5966719999997</v>
      </c>
      <c r="AC155" s="1">
        <v>0</v>
      </c>
      <c r="AD155" s="1">
        <v>0</v>
      </c>
      <c r="AE155" s="2">
        <f t="shared" si="214"/>
        <v>10851.774079999999</v>
      </c>
      <c r="AF155" s="2">
        <f t="shared" si="215"/>
        <v>10851.774079999999</v>
      </c>
      <c r="AG155" s="1">
        <v>0</v>
      </c>
      <c r="AH155" s="1">
        <f t="shared" si="202"/>
        <v>26367.52136666666</v>
      </c>
      <c r="AI155" s="1">
        <f t="shared" ref="AI155:AI192" si="237">L155*1.1</f>
        <v>11936.951488000001</v>
      </c>
      <c r="AJ155" s="2">
        <f t="shared" ref="AJ155:AJ192" si="238">L155</f>
        <v>10851.774079999999</v>
      </c>
      <c r="AK155" s="1">
        <f t="shared" si="216"/>
        <v>14866.930489599999</v>
      </c>
      <c r="AL155" s="2">
        <f t="shared" si="217"/>
        <v>10851.774079999999</v>
      </c>
      <c r="AM155" s="2">
        <f t="shared" si="218"/>
        <v>10851.774079999999</v>
      </c>
      <c r="AN155" s="2">
        <f t="shared" si="219"/>
        <v>11936.951488000001</v>
      </c>
      <c r="AO155" s="2">
        <f t="shared" si="220"/>
        <v>10851.774079999999</v>
      </c>
      <c r="AP155" s="2">
        <f t="shared" si="221"/>
        <v>3814.382259</v>
      </c>
      <c r="AQ155" s="2">
        <f t="shared" si="222"/>
        <v>10851.774079999999</v>
      </c>
      <c r="AR155" s="1">
        <f t="shared" si="223"/>
        <v>18833.943833333331</v>
      </c>
      <c r="AS155" s="1">
        <f t="shared" si="224"/>
        <v>3814.382259</v>
      </c>
      <c r="AT155" s="2">
        <f t="shared" si="225"/>
        <v>10851.774079999999</v>
      </c>
      <c r="AU155" s="1">
        <v>11849.808150000003</v>
      </c>
      <c r="AV155" s="2">
        <f t="shared" si="226"/>
        <v>4195.8204849000003</v>
      </c>
      <c r="AW155" s="2">
        <f t="shared" si="227"/>
        <v>10851.774079999999</v>
      </c>
      <c r="AX155" s="1">
        <f t="shared" si="228"/>
        <v>10309.185375999999</v>
      </c>
      <c r="AY155" s="2" t="str">
        <f t="shared" si="205"/>
        <v>9549.56 IPPS</v>
      </c>
      <c r="AZ155" s="1">
        <v>0</v>
      </c>
      <c r="BA155" s="1">
        <v>0</v>
      </c>
      <c r="BB155" s="1">
        <v>0</v>
      </c>
      <c r="BC155" s="1">
        <f t="shared" ref="BC155:BC218" si="239">L155</f>
        <v>10851.774079999999</v>
      </c>
      <c r="BD155" s="1">
        <f t="shared" ref="BD155:BD218" si="240">L155*1.1</f>
        <v>11936.951488000001</v>
      </c>
      <c r="BE155" s="1">
        <f t="shared" ref="BE155:BE218" si="241">L155*0.9</f>
        <v>9766.5966719999997</v>
      </c>
      <c r="BF155" s="1">
        <v>0</v>
      </c>
      <c r="BG155" s="1">
        <v>0</v>
      </c>
      <c r="BH155" s="1">
        <v>0</v>
      </c>
      <c r="BI155" s="2">
        <f t="shared" si="229"/>
        <v>13022.128895999998</v>
      </c>
      <c r="BJ155" s="2">
        <f t="shared" si="230"/>
        <v>10851.774079999999</v>
      </c>
      <c r="BK155" s="2">
        <f t="shared" si="231"/>
        <v>10309.185375999999</v>
      </c>
      <c r="BL155" s="2">
        <f t="shared" si="232"/>
        <v>10851.774079999999</v>
      </c>
      <c r="BM155" s="13">
        <f>1.2798*10145</f>
        <v>12983.571</v>
      </c>
      <c r="BN155" s="2">
        <f t="shared" si="233"/>
        <v>10851.774079999999</v>
      </c>
      <c r="BO155" s="2">
        <f t="shared" si="234"/>
        <v>0</v>
      </c>
      <c r="BP155" s="2">
        <f t="shared" si="235"/>
        <v>26367.52136666666</v>
      </c>
      <c r="BQ155" s="22"/>
    </row>
    <row r="156" spans="1:69" ht="20.100000000000001" customHeight="1" x14ac:dyDescent="0.2">
      <c r="A156" s="17">
        <f t="shared" si="203"/>
        <v>154</v>
      </c>
      <c r="B156" s="17">
        <v>853</v>
      </c>
      <c r="C156" s="18" t="s">
        <v>64</v>
      </c>
      <c r="D156" s="19" t="s">
        <v>251</v>
      </c>
      <c r="E156" s="18" t="s">
        <v>248</v>
      </c>
      <c r="F156" s="8">
        <f>104676.571875</f>
        <v>104676.57187499999</v>
      </c>
      <c r="G156" s="18" t="s">
        <v>64</v>
      </c>
      <c r="H156" s="12">
        <v>0</v>
      </c>
      <c r="I156" s="24">
        <v>10</v>
      </c>
      <c r="J156" s="2">
        <f t="shared" si="206"/>
        <v>51413.962703999998</v>
      </c>
      <c r="K156" s="21" t="s">
        <v>249</v>
      </c>
      <c r="L156" s="1">
        <v>39549.202079999995</v>
      </c>
      <c r="M156" s="1">
        <v>7952.5448860000006</v>
      </c>
      <c r="N156" s="1">
        <f>5.0986*10804.5</f>
        <v>55087.823700000001</v>
      </c>
      <c r="O156" s="2">
        <f t="shared" si="207"/>
        <v>39549.202079999995</v>
      </c>
      <c r="P156" s="2">
        <f t="shared" si="236"/>
        <v>49436.502599999993</v>
      </c>
      <c r="Q156" s="1">
        <v>0</v>
      </c>
      <c r="R156" s="1">
        <v>0</v>
      </c>
      <c r="S156" s="2">
        <f t="shared" si="208"/>
        <v>39549.202079999995</v>
      </c>
      <c r="T156" s="1">
        <f t="shared" si="209"/>
        <v>44480</v>
      </c>
      <c r="U156" s="1"/>
      <c r="V156" s="13">
        <f>4.901*10568</f>
        <v>51793.767999999996</v>
      </c>
      <c r="W156" s="2">
        <f t="shared" si="210"/>
        <v>39549.202079999995</v>
      </c>
      <c r="X156" s="1">
        <f t="shared" ref="X156:X192" si="242">L156</f>
        <v>39549.202079999995</v>
      </c>
      <c r="Y156" s="1">
        <f t="shared" si="211"/>
        <v>39549.202079999995</v>
      </c>
      <c r="Z156" s="1">
        <f t="shared" ref="Z156:Z192" si="243">2202*I156</f>
        <v>22020</v>
      </c>
      <c r="AA156" s="1">
        <f t="shared" si="212"/>
        <v>37571.741975999998</v>
      </c>
      <c r="AB156" s="1">
        <f t="shared" si="213"/>
        <v>35594.281872</v>
      </c>
      <c r="AC156" s="1">
        <v>0</v>
      </c>
      <c r="AD156" s="1">
        <v>0</v>
      </c>
      <c r="AE156" s="1">
        <f t="shared" si="214"/>
        <v>39549.202079999995</v>
      </c>
      <c r="AF156" s="1">
        <f t="shared" si="215"/>
        <v>39549.202079999995</v>
      </c>
      <c r="AG156" s="1">
        <v>0</v>
      </c>
      <c r="AH156" s="1">
        <f t="shared" si="202"/>
        <v>73273.600312499984</v>
      </c>
      <c r="AI156" s="1">
        <f t="shared" si="237"/>
        <v>43504.122287999999</v>
      </c>
      <c r="AJ156" s="2">
        <f t="shared" si="238"/>
        <v>39549.202079999995</v>
      </c>
      <c r="AK156" s="1">
        <f t="shared" si="216"/>
        <v>54182.406849599996</v>
      </c>
      <c r="AL156" s="1">
        <f t="shared" si="217"/>
        <v>39549.202079999995</v>
      </c>
      <c r="AM156" s="1">
        <f t="shared" si="218"/>
        <v>39549.202079999995</v>
      </c>
      <c r="AN156" s="2">
        <f t="shared" si="219"/>
        <v>43504.122287999999</v>
      </c>
      <c r="AO156" s="2">
        <f t="shared" si="220"/>
        <v>39549.202079999995</v>
      </c>
      <c r="AP156" s="2">
        <f t="shared" si="221"/>
        <v>7952.5448860000006</v>
      </c>
      <c r="AQ156" s="1">
        <f t="shared" si="222"/>
        <v>39549.202079999995</v>
      </c>
      <c r="AR156" s="1">
        <f t="shared" si="223"/>
        <v>52338.285937499997</v>
      </c>
      <c r="AS156" s="1">
        <f t="shared" si="224"/>
        <v>7952.5448860000006</v>
      </c>
      <c r="AT156" s="1">
        <f t="shared" si="225"/>
        <v>39549.202079999995</v>
      </c>
      <c r="AU156" s="1">
        <v>29624.520375000004</v>
      </c>
      <c r="AV156" s="2">
        <f t="shared" si="226"/>
        <v>8747.7993746000011</v>
      </c>
      <c r="AW156" s="1">
        <f t="shared" si="227"/>
        <v>39549.202079999995</v>
      </c>
      <c r="AX156" s="1">
        <f t="shared" si="228"/>
        <v>37571.741975999998</v>
      </c>
      <c r="AY156" s="2" t="str">
        <f t="shared" si="205"/>
        <v>34803.3 IPPS</v>
      </c>
      <c r="AZ156" s="1">
        <v>0</v>
      </c>
      <c r="BA156" s="1">
        <v>0</v>
      </c>
      <c r="BB156" s="1">
        <v>0</v>
      </c>
      <c r="BC156" s="1">
        <f t="shared" si="239"/>
        <v>39549.202079999995</v>
      </c>
      <c r="BD156" s="1">
        <f t="shared" si="240"/>
        <v>43504.122287999999</v>
      </c>
      <c r="BE156" s="1">
        <f t="shared" si="241"/>
        <v>35594.281872</v>
      </c>
      <c r="BF156" s="1">
        <v>0</v>
      </c>
      <c r="BG156" s="1">
        <v>0</v>
      </c>
      <c r="BH156" s="1">
        <v>0</v>
      </c>
      <c r="BI156" s="2">
        <f t="shared" si="229"/>
        <v>47459.042495999995</v>
      </c>
      <c r="BJ156" s="1">
        <f t="shared" si="230"/>
        <v>39549.202079999995</v>
      </c>
      <c r="BK156" s="2">
        <f t="shared" si="231"/>
        <v>37571.741975999998</v>
      </c>
      <c r="BL156" s="1">
        <f t="shared" si="232"/>
        <v>39549.202079999995</v>
      </c>
      <c r="BM156" s="13">
        <f>4.901*9755</f>
        <v>47809.254999999997</v>
      </c>
      <c r="BN156" s="1">
        <f t="shared" si="233"/>
        <v>39549.202079999995</v>
      </c>
      <c r="BO156" s="2">
        <f t="shared" si="234"/>
        <v>0</v>
      </c>
      <c r="BP156" s="2">
        <f t="shared" si="235"/>
        <v>73273.600312499984</v>
      </c>
      <c r="BQ156" s="22"/>
    </row>
    <row r="157" spans="1:69" ht="20.100000000000001" customHeight="1" x14ac:dyDescent="0.2">
      <c r="A157" s="17">
        <f t="shared" si="203"/>
        <v>155</v>
      </c>
      <c r="B157" s="17">
        <v>434</v>
      </c>
      <c r="C157" s="18" t="s">
        <v>64</v>
      </c>
      <c r="D157" s="19" t="s">
        <v>252</v>
      </c>
      <c r="E157" s="18" t="s">
        <v>248</v>
      </c>
      <c r="F157" s="8">
        <v>27403.056249999998</v>
      </c>
      <c r="G157" s="18" t="s">
        <v>64</v>
      </c>
      <c r="H157" s="12">
        <v>0</v>
      </c>
      <c r="I157" s="24">
        <v>2</v>
      </c>
      <c r="J157" s="2">
        <f t="shared" si="206"/>
        <v>6640.1635040000001</v>
      </c>
      <c r="K157" s="21" t="s">
        <v>249</v>
      </c>
      <c r="L157" s="1">
        <v>5107.81808</v>
      </c>
      <c r="M157" s="1">
        <v>3539.9459550000001</v>
      </c>
      <c r="N157" s="1">
        <f>3.4348*10804.5</f>
        <v>37111.296600000001</v>
      </c>
      <c r="O157" s="2">
        <f t="shared" si="207"/>
        <v>5107.81808</v>
      </c>
      <c r="P157" s="2">
        <f t="shared" si="236"/>
        <v>6384.7726000000002</v>
      </c>
      <c r="Q157" s="1">
        <v>0</v>
      </c>
      <c r="R157" s="1">
        <v>0</v>
      </c>
      <c r="S157" s="2">
        <f t="shared" si="208"/>
        <v>5107.81808</v>
      </c>
      <c r="T157" s="1">
        <f t="shared" si="209"/>
        <v>8896</v>
      </c>
      <c r="U157" s="1"/>
      <c r="V157" s="13">
        <f>0.6277*10568</f>
        <v>6633.5336000000007</v>
      </c>
      <c r="W157" s="2">
        <f t="shared" si="210"/>
        <v>5107.81808</v>
      </c>
      <c r="X157" s="1">
        <f t="shared" si="242"/>
        <v>5107.81808</v>
      </c>
      <c r="Y157" s="2">
        <f t="shared" si="211"/>
        <v>5107.81808</v>
      </c>
      <c r="Z157" s="1">
        <f t="shared" si="243"/>
        <v>4404</v>
      </c>
      <c r="AA157" s="1">
        <f t="shared" si="212"/>
        <v>4852.4271760000001</v>
      </c>
      <c r="AB157" s="1">
        <f t="shared" si="213"/>
        <v>4597.0362720000003</v>
      </c>
      <c r="AC157" s="1">
        <v>0</v>
      </c>
      <c r="AD157" s="1">
        <v>0</v>
      </c>
      <c r="AE157" s="2">
        <f t="shared" si="214"/>
        <v>5107.81808</v>
      </c>
      <c r="AF157" s="2">
        <f t="shared" si="215"/>
        <v>5107.81808</v>
      </c>
      <c r="AG157" s="1">
        <v>0</v>
      </c>
      <c r="AH157" s="1">
        <f t="shared" si="202"/>
        <v>19182.139374999999</v>
      </c>
      <c r="AI157" s="1">
        <f t="shared" si="237"/>
        <v>5618.5998880000006</v>
      </c>
      <c r="AJ157" s="2">
        <f t="shared" si="238"/>
        <v>5107.81808</v>
      </c>
      <c r="AK157" s="1">
        <f t="shared" si="216"/>
        <v>6997.7107696000003</v>
      </c>
      <c r="AL157" s="2">
        <f t="shared" si="217"/>
        <v>5107.81808</v>
      </c>
      <c r="AM157" s="2">
        <f t="shared" si="218"/>
        <v>5107.81808</v>
      </c>
      <c r="AN157" s="2">
        <f t="shared" si="219"/>
        <v>5618.5998880000006</v>
      </c>
      <c r="AO157" s="2">
        <f t="shared" si="220"/>
        <v>5107.81808</v>
      </c>
      <c r="AP157" s="2">
        <f t="shared" si="221"/>
        <v>3539.9459550000001</v>
      </c>
      <c r="AQ157" s="2">
        <f t="shared" si="222"/>
        <v>5107.81808</v>
      </c>
      <c r="AR157" s="1">
        <f t="shared" si="223"/>
        <v>13701.528124999999</v>
      </c>
      <c r="AS157" s="1">
        <f t="shared" si="224"/>
        <v>3539.9459550000001</v>
      </c>
      <c r="AT157" s="2">
        <f t="shared" si="225"/>
        <v>5107.81808</v>
      </c>
      <c r="AU157" s="1">
        <v>5924.9040750000013</v>
      </c>
      <c r="AV157" s="2">
        <f t="shared" si="226"/>
        <v>3893.9405505000004</v>
      </c>
      <c r="AW157" s="2">
        <f t="shared" si="227"/>
        <v>5107.81808</v>
      </c>
      <c r="AX157" s="1">
        <f t="shared" si="228"/>
        <v>4852.4271760000001</v>
      </c>
      <c r="AY157" s="2" t="str">
        <f t="shared" si="205"/>
        <v>4494.88 IPPS</v>
      </c>
      <c r="AZ157" s="1">
        <v>0</v>
      </c>
      <c r="BA157" s="1">
        <v>0</v>
      </c>
      <c r="BB157" s="1">
        <v>0</v>
      </c>
      <c r="BC157" s="1">
        <f t="shared" si="239"/>
        <v>5107.81808</v>
      </c>
      <c r="BD157" s="1">
        <f t="shared" si="240"/>
        <v>5618.5998880000006</v>
      </c>
      <c r="BE157" s="1">
        <f t="shared" si="241"/>
        <v>4597.0362720000003</v>
      </c>
      <c r="BF157" s="1">
        <v>0</v>
      </c>
      <c r="BG157" s="1">
        <v>0</v>
      </c>
      <c r="BH157" s="1">
        <v>0</v>
      </c>
      <c r="BI157" s="2">
        <f t="shared" si="229"/>
        <v>6129.3816959999995</v>
      </c>
      <c r="BJ157" s="2">
        <f t="shared" si="230"/>
        <v>5107.81808</v>
      </c>
      <c r="BK157" s="2">
        <f t="shared" si="231"/>
        <v>4852.4271760000001</v>
      </c>
      <c r="BL157" s="2">
        <f t="shared" si="232"/>
        <v>5107.81808</v>
      </c>
      <c r="BM157" s="13">
        <f>0.6277*9755</f>
        <v>6123.2135000000007</v>
      </c>
      <c r="BN157" s="2">
        <f t="shared" si="233"/>
        <v>5107.81808</v>
      </c>
      <c r="BO157" s="2">
        <f t="shared" si="234"/>
        <v>0</v>
      </c>
      <c r="BP157" s="2">
        <f t="shared" si="235"/>
        <v>37111.296600000001</v>
      </c>
      <c r="BQ157" s="22"/>
    </row>
    <row r="158" spans="1:69" ht="20.100000000000001" customHeight="1" x14ac:dyDescent="0.2">
      <c r="A158" s="17">
        <f t="shared" si="203"/>
        <v>156</v>
      </c>
      <c r="B158" s="17">
        <v>330</v>
      </c>
      <c r="C158" s="18" t="s">
        <v>64</v>
      </c>
      <c r="D158" s="19" t="s">
        <v>253</v>
      </c>
      <c r="E158" s="18" t="s">
        <v>248</v>
      </c>
      <c r="F158" s="8">
        <f>130632.006428571</f>
        <v>130632.006428571</v>
      </c>
      <c r="G158" s="18" t="s">
        <v>64</v>
      </c>
      <c r="H158" s="12">
        <v>0</v>
      </c>
      <c r="I158" s="24">
        <v>6</v>
      </c>
      <c r="J158" s="2">
        <f t="shared" si="206"/>
        <v>26510.410784000003</v>
      </c>
      <c r="K158" s="21" t="s">
        <v>249</v>
      </c>
      <c r="L158" s="1">
        <v>20392.623680000001</v>
      </c>
      <c r="M158" s="1">
        <v>10458.318162000001</v>
      </c>
      <c r="N158" s="1">
        <f>2.5268*10804.5</f>
        <v>27300.810600000001</v>
      </c>
      <c r="O158" s="2">
        <f t="shared" si="207"/>
        <v>20392.623680000001</v>
      </c>
      <c r="P158" s="2">
        <f t="shared" si="236"/>
        <v>25490.779600000002</v>
      </c>
      <c r="Q158" s="1">
        <v>0</v>
      </c>
      <c r="R158" s="1">
        <v>0</v>
      </c>
      <c r="S158" s="2">
        <f t="shared" si="208"/>
        <v>20392.623680000001</v>
      </c>
      <c r="T158" s="1">
        <f t="shared" si="209"/>
        <v>26688</v>
      </c>
      <c r="U158" s="1"/>
      <c r="V158" s="13">
        <f>2.4554*10568</f>
        <v>25948.6672</v>
      </c>
      <c r="W158" s="2">
        <f t="shared" si="210"/>
        <v>20392.623680000001</v>
      </c>
      <c r="X158" s="1">
        <f t="shared" si="242"/>
        <v>20392.623680000001</v>
      </c>
      <c r="Y158" s="1">
        <f t="shared" si="211"/>
        <v>20392.623680000001</v>
      </c>
      <c r="Z158" s="1">
        <f t="shared" si="243"/>
        <v>13212</v>
      </c>
      <c r="AA158" s="1">
        <f t="shared" si="212"/>
        <v>19372.992495999999</v>
      </c>
      <c r="AB158" s="1">
        <f t="shared" si="213"/>
        <v>18353.361312000001</v>
      </c>
      <c r="AC158" s="1">
        <v>0</v>
      </c>
      <c r="AD158" s="1">
        <v>0</v>
      </c>
      <c r="AE158" s="1">
        <f t="shared" si="214"/>
        <v>20392.623680000001</v>
      </c>
      <c r="AF158" s="1">
        <f t="shared" si="215"/>
        <v>20392.623680000001</v>
      </c>
      <c r="AG158" s="1">
        <v>0</v>
      </c>
      <c r="AH158" s="1">
        <f t="shared" si="202"/>
        <v>91442.404499999699</v>
      </c>
      <c r="AI158" s="1">
        <f t="shared" si="237"/>
        <v>22431.886048000004</v>
      </c>
      <c r="AJ158" s="2">
        <f t="shared" si="238"/>
        <v>20392.623680000001</v>
      </c>
      <c r="AK158" s="1">
        <f t="shared" si="216"/>
        <v>27937.894441600001</v>
      </c>
      <c r="AL158" s="1">
        <f t="shared" si="217"/>
        <v>20392.623680000001</v>
      </c>
      <c r="AM158" s="1">
        <f t="shared" si="218"/>
        <v>20392.623680000001</v>
      </c>
      <c r="AN158" s="2">
        <f t="shared" si="219"/>
        <v>22431.886048000004</v>
      </c>
      <c r="AO158" s="2">
        <f t="shared" si="220"/>
        <v>20392.623680000001</v>
      </c>
      <c r="AP158" s="2">
        <f t="shared" si="221"/>
        <v>10458.318162000001</v>
      </c>
      <c r="AQ158" s="1">
        <f t="shared" si="222"/>
        <v>20392.623680000001</v>
      </c>
      <c r="AR158" s="1">
        <f t="shared" si="223"/>
        <v>65316.003214285498</v>
      </c>
      <c r="AS158" s="1">
        <f t="shared" si="224"/>
        <v>10458.318162000001</v>
      </c>
      <c r="AT158" s="1">
        <f t="shared" si="225"/>
        <v>20392.623680000001</v>
      </c>
      <c r="AU158" s="1">
        <v>27454.519600892039</v>
      </c>
      <c r="AV158" s="2">
        <f t="shared" si="226"/>
        <v>11504.149978200003</v>
      </c>
      <c r="AW158" s="1">
        <f t="shared" si="227"/>
        <v>20392.623680000001</v>
      </c>
      <c r="AX158" s="1">
        <f t="shared" si="228"/>
        <v>19372.992495999999</v>
      </c>
      <c r="AY158" s="2" t="str">
        <f t="shared" si="205"/>
        <v>17945.51 IPPS</v>
      </c>
      <c r="AZ158" s="1">
        <v>0</v>
      </c>
      <c r="BA158" s="1">
        <v>0</v>
      </c>
      <c r="BB158" s="1">
        <v>0</v>
      </c>
      <c r="BC158" s="1">
        <f t="shared" si="239"/>
        <v>20392.623680000001</v>
      </c>
      <c r="BD158" s="1">
        <f t="shared" si="240"/>
        <v>22431.886048000004</v>
      </c>
      <c r="BE158" s="1">
        <f t="shared" si="241"/>
        <v>18353.361312000001</v>
      </c>
      <c r="BF158" s="1">
        <v>0</v>
      </c>
      <c r="BG158" s="1">
        <v>0</v>
      </c>
      <c r="BH158" s="1">
        <v>0</v>
      </c>
      <c r="BI158" s="2">
        <f t="shared" si="229"/>
        <v>24471.148416</v>
      </c>
      <c r="BJ158" s="1">
        <f t="shared" si="230"/>
        <v>20392.623680000001</v>
      </c>
      <c r="BK158" s="2">
        <f t="shared" si="231"/>
        <v>19372.992495999999</v>
      </c>
      <c r="BL158" s="1">
        <f t="shared" si="232"/>
        <v>20392.623680000001</v>
      </c>
      <c r="BM158" s="13">
        <f>2.4554*10145</f>
        <v>24910.032999999999</v>
      </c>
      <c r="BN158" s="1">
        <f t="shared" si="233"/>
        <v>20392.623680000001</v>
      </c>
      <c r="BO158" s="2">
        <f t="shared" si="234"/>
        <v>0</v>
      </c>
      <c r="BP158" s="2">
        <f t="shared" si="235"/>
        <v>91442.404499999699</v>
      </c>
      <c r="BQ158" s="22"/>
    </row>
    <row r="159" spans="1:69" ht="20.100000000000001" customHeight="1" x14ac:dyDescent="0.2">
      <c r="A159" s="17">
        <f t="shared" si="203"/>
        <v>157</v>
      </c>
      <c r="B159" s="17">
        <v>177</v>
      </c>
      <c r="C159" s="18" t="s">
        <v>64</v>
      </c>
      <c r="D159" s="19" t="s">
        <v>254</v>
      </c>
      <c r="E159" s="18" t="s">
        <v>248</v>
      </c>
      <c r="F159" s="8">
        <v>42746.391428571427</v>
      </c>
      <c r="G159" s="18" t="s">
        <v>64</v>
      </c>
      <c r="H159" s="12">
        <v>0</v>
      </c>
      <c r="I159" s="24">
        <v>5</v>
      </c>
      <c r="J159" s="2">
        <f t="shared" si="206"/>
        <v>19329.023064000001</v>
      </c>
      <c r="K159" s="21" t="s">
        <v>249</v>
      </c>
      <c r="L159" s="1">
        <v>14868.47928</v>
      </c>
      <c r="M159" s="1">
        <v>8886.5074609999992</v>
      </c>
      <c r="N159" s="1">
        <f>1.8912*10804.5</f>
        <v>20433.470399999998</v>
      </c>
      <c r="O159" s="2">
        <f t="shared" si="207"/>
        <v>14868.47928</v>
      </c>
      <c r="P159" s="2">
        <f t="shared" si="236"/>
        <v>18585.599099999999</v>
      </c>
      <c r="Q159" s="1">
        <v>0</v>
      </c>
      <c r="R159" s="1">
        <v>0</v>
      </c>
      <c r="S159" s="2">
        <f t="shared" si="208"/>
        <v>14868.47928</v>
      </c>
      <c r="T159" s="1">
        <f t="shared" si="209"/>
        <v>22240</v>
      </c>
      <c r="U159" s="1"/>
      <c r="V159" s="13">
        <f>1.7799*10568</f>
        <v>18809.983199999999</v>
      </c>
      <c r="W159" s="2">
        <f t="shared" si="210"/>
        <v>14868.47928</v>
      </c>
      <c r="X159" s="1">
        <f t="shared" si="242"/>
        <v>14868.47928</v>
      </c>
      <c r="Y159" s="2">
        <f t="shared" si="211"/>
        <v>14868.47928</v>
      </c>
      <c r="Z159" s="1">
        <f t="shared" si="243"/>
        <v>11010</v>
      </c>
      <c r="AA159" s="1">
        <f t="shared" si="212"/>
        <v>14125.055315999998</v>
      </c>
      <c r="AB159" s="1">
        <f t="shared" si="213"/>
        <v>13381.631352</v>
      </c>
      <c r="AC159" s="1">
        <v>0</v>
      </c>
      <c r="AD159" s="1">
        <v>0</v>
      </c>
      <c r="AE159" s="2">
        <f t="shared" si="214"/>
        <v>14868.47928</v>
      </c>
      <c r="AF159" s="2">
        <f t="shared" si="215"/>
        <v>14868.47928</v>
      </c>
      <c r="AG159" s="1">
        <v>0</v>
      </c>
      <c r="AH159" s="1">
        <f t="shared" si="202"/>
        <v>29922.473999999998</v>
      </c>
      <c r="AI159" s="1">
        <f t="shared" si="237"/>
        <v>16355.327208000001</v>
      </c>
      <c r="AJ159" s="2">
        <f t="shared" si="238"/>
        <v>14868.47928</v>
      </c>
      <c r="AK159" s="1">
        <f t="shared" si="216"/>
        <v>20369.8166136</v>
      </c>
      <c r="AL159" s="2">
        <f t="shared" si="217"/>
        <v>14868.47928</v>
      </c>
      <c r="AM159" s="2">
        <f t="shared" si="218"/>
        <v>14868.47928</v>
      </c>
      <c r="AN159" s="2">
        <f t="shared" si="219"/>
        <v>16355.327208000001</v>
      </c>
      <c r="AO159" s="2">
        <f t="shared" si="220"/>
        <v>14868.47928</v>
      </c>
      <c r="AP159" s="2">
        <f t="shared" si="221"/>
        <v>8886.5074609999992</v>
      </c>
      <c r="AQ159" s="2">
        <f t="shared" si="222"/>
        <v>14868.47928</v>
      </c>
      <c r="AR159" s="1">
        <f t="shared" si="223"/>
        <v>21373.195714285714</v>
      </c>
      <c r="AS159" s="1">
        <f t="shared" si="224"/>
        <v>8886.5074609999992</v>
      </c>
      <c r="AT159" s="2">
        <f t="shared" si="225"/>
        <v>14868.47928</v>
      </c>
      <c r="AU159" s="1">
        <v>14812.260187500002</v>
      </c>
      <c r="AV159" s="2">
        <f t="shared" si="226"/>
        <v>9775.1582070999993</v>
      </c>
      <c r="AW159" s="2">
        <f t="shared" si="227"/>
        <v>14868.47928</v>
      </c>
      <c r="AX159" s="1">
        <f t="shared" si="228"/>
        <v>14125.055315999998</v>
      </c>
      <c r="AY159" s="2" t="str">
        <f t="shared" si="205"/>
        <v>13084.26 IPPS</v>
      </c>
      <c r="AZ159" s="1">
        <v>0</v>
      </c>
      <c r="BA159" s="1">
        <v>0</v>
      </c>
      <c r="BB159" s="1">
        <v>0</v>
      </c>
      <c r="BC159" s="1">
        <f t="shared" si="239"/>
        <v>14868.47928</v>
      </c>
      <c r="BD159" s="1">
        <f t="shared" si="240"/>
        <v>16355.327208000001</v>
      </c>
      <c r="BE159" s="1">
        <f t="shared" si="241"/>
        <v>13381.631352</v>
      </c>
      <c r="BF159" s="1">
        <v>0</v>
      </c>
      <c r="BG159" s="1">
        <v>0</v>
      </c>
      <c r="BH159" s="1">
        <v>0</v>
      </c>
      <c r="BI159" s="2">
        <f t="shared" si="229"/>
        <v>17842.175135999998</v>
      </c>
      <c r="BJ159" s="2">
        <f t="shared" si="230"/>
        <v>14868.47928</v>
      </c>
      <c r="BK159" s="2">
        <f t="shared" si="231"/>
        <v>14125.055315999998</v>
      </c>
      <c r="BL159" s="2">
        <f t="shared" si="232"/>
        <v>14868.47928</v>
      </c>
      <c r="BM159" s="13">
        <f>1.7799*10145</f>
        <v>18057.085500000001</v>
      </c>
      <c r="BN159" s="2">
        <f t="shared" si="233"/>
        <v>14868.47928</v>
      </c>
      <c r="BO159" s="2">
        <f t="shared" si="234"/>
        <v>0</v>
      </c>
      <c r="BP159" s="2">
        <f t="shared" si="235"/>
        <v>29922.473999999998</v>
      </c>
      <c r="BQ159" s="22"/>
    </row>
    <row r="160" spans="1:69" ht="20.100000000000001" customHeight="1" x14ac:dyDescent="0.2">
      <c r="A160" s="17">
        <f t="shared" si="203"/>
        <v>158</v>
      </c>
      <c r="B160" s="17">
        <v>682</v>
      </c>
      <c r="C160" s="18" t="s">
        <v>64</v>
      </c>
      <c r="D160" s="19" t="s">
        <v>255</v>
      </c>
      <c r="E160" s="18" t="s">
        <v>248</v>
      </c>
      <c r="F160" s="8">
        <v>30579.359285714283</v>
      </c>
      <c r="G160" s="18" t="s">
        <v>64</v>
      </c>
      <c r="H160" s="12">
        <v>0</v>
      </c>
      <c r="I160" s="24">
        <v>4</v>
      </c>
      <c r="J160" s="2">
        <f t="shared" si="206"/>
        <v>15445.844647999998</v>
      </c>
      <c r="K160" s="21" t="s">
        <v>249</v>
      </c>
      <c r="L160" s="1">
        <v>11881.418959999999</v>
      </c>
      <c r="M160" s="1">
        <v>3232.6169460000006</v>
      </c>
      <c r="N160" s="1">
        <f>1.478*10804.5</f>
        <v>15969.050999999999</v>
      </c>
      <c r="O160" s="2">
        <f t="shared" si="207"/>
        <v>11881.418959999999</v>
      </c>
      <c r="P160" s="2">
        <f t="shared" si="236"/>
        <v>14851.773699999998</v>
      </c>
      <c r="Q160" s="1">
        <v>0</v>
      </c>
      <c r="R160" s="1">
        <v>0</v>
      </c>
      <c r="S160" s="2">
        <f t="shared" si="208"/>
        <v>11881.418959999999</v>
      </c>
      <c r="T160" s="1">
        <f t="shared" si="209"/>
        <v>17792</v>
      </c>
      <c r="U160" s="1"/>
      <c r="V160" s="13">
        <f>1.4866*10568</f>
        <v>15710.388799999999</v>
      </c>
      <c r="W160" s="2">
        <f t="shared" si="210"/>
        <v>11881.418959999999</v>
      </c>
      <c r="X160" s="1">
        <f t="shared" si="242"/>
        <v>11881.418959999999</v>
      </c>
      <c r="Y160" s="2">
        <f t="shared" si="211"/>
        <v>11881.418959999999</v>
      </c>
      <c r="Z160" s="1">
        <f t="shared" si="243"/>
        <v>8808</v>
      </c>
      <c r="AA160" s="1">
        <f t="shared" si="212"/>
        <v>11287.348011999999</v>
      </c>
      <c r="AB160" s="1">
        <f t="shared" si="213"/>
        <v>10693.277064</v>
      </c>
      <c r="AC160" s="1">
        <v>0</v>
      </c>
      <c r="AD160" s="1">
        <v>0</v>
      </c>
      <c r="AE160" s="2">
        <f t="shared" si="214"/>
        <v>11881.418959999999</v>
      </c>
      <c r="AF160" s="2">
        <f t="shared" si="215"/>
        <v>11881.418959999999</v>
      </c>
      <c r="AG160" s="1">
        <v>0</v>
      </c>
      <c r="AH160" s="1">
        <f t="shared" ref="AH160:AH192" si="244">F160*0.7</f>
        <v>21405.551499999998</v>
      </c>
      <c r="AI160" s="1">
        <f t="shared" si="237"/>
        <v>13069.560856</v>
      </c>
      <c r="AJ160" s="2">
        <f t="shared" si="238"/>
        <v>11881.418959999999</v>
      </c>
      <c r="AK160" s="1">
        <f t="shared" si="216"/>
        <v>16277.5439752</v>
      </c>
      <c r="AL160" s="2">
        <f t="shared" si="217"/>
        <v>11881.418959999999</v>
      </c>
      <c r="AM160" s="2">
        <f t="shared" si="218"/>
        <v>11881.418959999999</v>
      </c>
      <c r="AN160" s="2">
        <f t="shared" si="219"/>
        <v>13069.560856</v>
      </c>
      <c r="AO160" s="2">
        <f t="shared" si="220"/>
        <v>11881.418959999999</v>
      </c>
      <c r="AP160" s="2">
        <f t="shared" si="221"/>
        <v>3232.6169460000006</v>
      </c>
      <c r="AQ160" s="2">
        <f t="shared" si="222"/>
        <v>11881.418959999999</v>
      </c>
      <c r="AR160" s="1">
        <f t="shared" si="223"/>
        <v>15289.679642857142</v>
      </c>
      <c r="AS160" s="1">
        <f t="shared" si="224"/>
        <v>3232.6169460000006</v>
      </c>
      <c r="AT160" s="2">
        <f t="shared" si="225"/>
        <v>11881.418959999999</v>
      </c>
      <c r="AU160" s="1">
        <v>11849.808150000003</v>
      </c>
      <c r="AV160" s="2">
        <f t="shared" si="226"/>
        <v>3555.8786406000008</v>
      </c>
      <c r="AW160" s="2">
        <f t="shared" si="227"/>
        <v>11881.418959999999</v>
      </c>
      <c r="AX160" s="1">
        <f t="shared" si="228"/>
        <v>11287.348011999999</v>
      </c>
      <c r="AY160" s="2" t="str">
        <f t="shared" si="205"/>
        <v>10455.65 IPPS</v>
      </c>
      <c r="AZ160" s="1">
        <v>0</v>
      </c>
      <c r="BA160" s="1">
        <v>0</v>
      </c>
      <c r="BB160" s="1">
        <v>0</v>
      </c>
      <c r="BC160" s="1">
        <f t="shared" si="239"/>
        <v>11881.418959999999</v>
      </c>
      <c r="BD160" s="1">
        <f t="shared" si="240"/>
        <v>13069.560856</v>
      </c>
      <c r="BE160" s="1">
        <f t="shared" si="241"/>
        <v>10693.277064</v>
      </c>
      <c r="BF160" s="1">
        <v>0</v>
      </c>
      <c r="BG160" s="1">
        <v>0</v>
      </c>
      <c r="BH160" s="1">
        <v>0</v>
      </c>
      <c r="BI160" s="2">
        <f t="shared" si="229"/>
        <v>14257.702751999999</v>
      </c>
      <c r="BJ160" s="2">
        <f t="shared" si="230"/>
        <v>11881.418959999999</v>
      </c>
      <c r="BK160" s="2">
        <f t="shared" si="231"/>
        <v>11287.348011999999</v>
      </c>
      <c r="BL160" s="2">
        <f t="shared" si="232"/>
        <v>11881.418959999999</v>
      </c>
      <c r="BM160" s="13">
        <f>1.4866*10145</f>
        <v>15081.556999999999</v>
      </c>
      <c r="BN160" s="2">
        <f t="shared" si="233"/>
        <v>11881.418959999999</v>
      </c>
      <c r="BO160" s="2">
        <f t="shared" si="234"/>
        <v>0</v>
      </c>
      <c r="BP160" s="2">
        <f t="shared" si="235"/>
        <v>21405.551499999998</v>
      </c>
      <c r="BQ160" s="22"/>
    </row>
    <row r="161" spans="1:69" ht="20.100000000000001" customHeight="1" x14ac:dyDescent="0.2">
      <c r="A161" s="17">
        <f t="shared" si="203"/>
        <v>159</v>
      </c>
      <c r="B161" s="17">
        <v>392</v>
      </c>
      <c r="C161" s="18" t="s">
        <v>64</v>
      </c>
      <c r="D161" s="26" t="s">
        <v>256</v>
      </c>
      <c r="E161" s="18" t="s">
        <v>248</v>
      </c>
      <c r="F161" s="8">
        <v>19107.001428571424</v>
      </c>
      <c r="G161" s="18" t="s">
        <v>64</v>
      </c>
      <c r="H161" s="12">
        <v>0</v>
      </c>
      <c r="I161" s="24">
        <v>3</v>
      </c>
      <c r="J161" s="2">
        <f t="shared" si="206"/>
        <v>8139.1922560000003</v>
      </c>
      <c r="K161" s="21" t="s">
        <v>249</v>
      </c>
      <c r="L161" s="1">
        <v>6260.9171200000001</v>
      </c>
      <c r="M161" s="1">
        <v>3359.7319810000004</v>
      </c>
      <c r="N161" s="1">
        <f>0.8392*10804.5</f>
        <v>9067.1363999999994</v>
      </c>
      <c r="O161" s="2">
        <f t="shared" si="207"/>
        <v>6260.9171200000001</v>
      </c>
      <c r="P161" s="2">
        <f t="shared" si="236"/>
        <v>7826.1463999999996</v>
      </c>
      <c r="Q161" s="1">
        <v>0</v>
      </c>
      <c r="R161" s="1">
        <v>0</v>
      </c>
      <c r="S161" s="2">
        <f t="shared" si="208"/>
        <v>6260.9171200000001</v>
      </c>
      <c r="T161" s="1">
        <f t="shared" si="209"/>
        <v>13344</v>
      </c>
      <c r="U161" s="1"/>
      <c r="V161" s="13">
        <f>0.7876*10568</f>
        <v>8323.3567999999996</v>
      </c>
      <c r="W161" s="2">
        <f t="shared" si="210"/>
        <v>6260.9171200000001</v>
      </c>
      <c r="X161" s="1">
        <f t="shared" si="242"/>
        <v>6260.9171200000001</v>
      </c>
      <c r="Y161" s="2">
        <f t="shared" si="211"/>
        <v>6260.9171200000001</v>
      </c>
      <c r="Z161" s="1">
        <f t="shared" si="243"/>
        <v>6606</v>
      </c>
      <c r="AA161" s="1">
        <f t="shared" si="212"/>
        <v>5947.8712639999994</v>
      </c>
      <c r="AB161" s="1">
        <f t="shared" si="213"/>
        <v>5634.8254080000006</v>
      </c>
      <c r="AC161" s="1">
        <v>0</v>
      </c>
      <c r="AD161" s="1">
        <v>0</v>
      </c>
      <c r="AE161" s="2">
        <f t="shared" si="214"/>
        <v>6260.9171200000001</v>
      </c>
      <c r="AF161" s="2">
        <f t="shared" si="215"/>
        <v>6260.9171200000001</v>
      </c>
      <c r="AG161" s="1">
        <v>0</v>
      </c>
      <c r="AH161" s="1">
        <f t="shared" si="244"/>
        <v>13374.900999999996</v>
      </c>
      <c r="AI161" s="1">
        <f t="shared" si="237"/>
        <v>6887.0088320000004</v>
      </c>
      <c r="AJ161" s="2">
        <f t="shared" si="238"/>
        <v>6260.9171200000001</v>
      </c>
      <c r="AK161" s="1">
        <f t="shared" si="216"/>
        <v>8577.4564544000004</v>
      </c>
      <c r="AL161" s="2">
        <f t="shared" si="217"/>
        <v>6260.9171200000001</v>
      </c>
      <c r="AM161" s="2">
        <f t="shared" si="218"/>
        <v>6260.9171200000001</v>
      </c>
      <c r="AN161" s="2">
        <f t="shared" si="219"/>
        <v>6887.0088320000004</v>
      </c>
      <c r="AO161" s="2">
        <f t="shared" si="220"/>
        <v>6260.9171200000001</v>
      </c>
      <c r="AP161" s="2">
        <f t="shared" si="221"/>
        <v>3359.7319810000004</v>
      </c>
      <c r="AQ161" s="2">
        <f t="shared" si="222"/>
        <v>6260.9171200000001</v>
      </c>
      <c r="AR161" s="1">
        <f t="shared" si="223"/>
        <v>9553.5007142857121</v>
      </c>
      <c r="AS161" s="1">
        <f t="shared" si="224"/>
        <v>3359.7319810000004</v>
      </c>
      <c r="AT161" s="2">
        <f t="shared" si="225"/>
        <v>6260.9171200000001</v>
      </c>
      <c r="AU161" s="1">
        <v>8887.3561125000015</v>
      </c>
      <c r="AV161" s="2">
        <f t="shared" si="226"/>
        <v>3695.7051791000008</v>
      </c>
      <c r="AW161" s="2">
        <f t="shared" si="227"/>
        <v>6260.9171200000001</v>
      </c>
      <c r="AX161" s="1">
        <f t="shared" si="228"/>
        <v>5947.8712639999994</v>
      </c>
      <c r="AY161" s="2" t="str">
        <f t="shared" si="205"/>
        <v>5509.61 IPPS</v>
      </c>
      <c r="AZ161" s="1">
        <v>0</v>
      </c>
      <c r="BA161" s="1">
        <v>0</v>
      </c>
      <c r="BB161" s="1">
        <v>0</v>
      </c>
      <c r="BC161" s="1">
        <f t="shared" si="239"/>
        <v>6260.9171200000001</v>
      </c>
      <c r="BD161" s="1">
        <f t="shared" si="240"/>
        <v>6887.0088320000004</v>
      </c>
      <c r="BE161" s="1">
        <f t="shared" si="241"/>
        <v>5634.8254080000006</v>
      </c>
      <c r="BF161" s="1">
        <v>0</v>
      </c>
      <c r="BG161" s="1">
        <v>0</v>
      </c>
      <c r="BH161" s="1">
        <v>0</v>
      </c>
      <c r="BI161" s="2">
        <f t="shared" si="229"/>
        <v>7513.1005439999999</v>
      </c>
      <c r="BJ161" s="2">
        <f t="shared" si="230"/>
        <v>6260.9171200000001</v>
      </c>
      <c r="BK161" s="2">
        <f t="shared" si="231"/>
        <v>5947.8712639999994</v>
      </c>
      <c r="BL161" s="2">
        <f t="shared" si="232"/>
        <v>6260.9171200000001</v>
      </c>
      <c r="BM161" s="13">
        <f>0.7876*10145</f>
        <v>7990.2019999999993</v>
      </c>
      <c r="BN161" s="2">
        <f t="shared" si="233"/>
        <v>6260.9171200000001</v>
      </c>
      <c r="BO161" s="2">
        <f t="shared" si="234"/>
        <v>0</v>
      </c>
      <c r="BP161" s="2">
        <f t="shared" si="235"/>
        <v>13374.900999999996</v>
      </c>
      <c r="BQ161" s="22"/>
    </row>
    <row r="162" spans="1:69" ht="20.100000000000001" customHeight="1" x14ac:dyDescent="0.2">
      <c r="A162" s="17">
        <f t="shared" si="203"/>
        <v>160</v>
      </c>
      <c r="B162" s="17">
        <v>65</v>
      </c>
      <c r="C162" s="18" t="s">
        <v>64</v>
      </c>
      <c r="D162" s="26" t="s">
        <v>257</v>
      </c>
      <c r="E162" s="18" t="s">
        <v>248</v>
      </c>
      <c r="F162" s="8">
        <v>20690.946153846155</v>
      </c>
      <c r="G162" s="18" t="s">
        <v>64</v>
      </c>
      <c r="H162" s="12">
        <v>0</v>
      </c>
      <c r="I162" s="24">
        <v>3</v>
      </c>
      <c r="J162" s="2">
        <f t="shared" si="206"/>
        <v>10766.593655999999</v>
      </c>
      <c r="K162" s="21" t="s">
        <v>249</v>
      </c>
      <c r="L162" s="1">
        <v>8281.9951199999996</v>
      </c>
      <c r="M162" s="1">
        <v>8034.0507060000009</v>
      </c>
      <c r="N162" s="1">
        <f>1.5651*10804.5</f>
        <v>16910.122950000001</v>
      </c>
      <c r="O162" s="2">
        <f t="shared" si="207"/>
        <v>8281.9951199999996</v>
      </c>
      <c r="P162" s="2">
        <f t="shared" si="236"/>
        <v>10352.493899999999</v>
      </c>
      <c r="Q162" s="1">
        <v>0</v>
      </c>
      <c r="R162" s="1">
        <v>0</v>
      </c>
      <c r="S162" s="2">
        <f t="shared" si="208"/>
        <v>8281.9951199999996</v>
      </c>
      <c r="T162" s="1">
        <f t="shared" si="209"/>
        <v>13344</v>
      </c>
      <c r="U162" s="1"/>
      <c r="V162" s="13">
        <f>1.0164*10568</f>
        <v>10741.315199999999</v>
      </c>
      <c r="W162" s="2">
        <f t="shared" si="210"/>
        <v>8281.9951199999996</v>
      </c>
      <c r="X162" s="1">
        <f t="shared" si="242"/>
        <v>8281.9951199999996</v>
      </c>
      <c r="Y162" s="2">
        <f t="shared" si="211"/>
        <v>8281.9951199999996</v>
      </c>
      <c r="Z162" s="1">
        <f t="shared" si="243"/>
        <v>6606</v>
      </c>
      <c r="AA162" s="1">
        <f t="shared" si="212"/>
        <v>7867.8953639999991</v>
      </c>
      <c r="AB162" s="1">
        <f t="shared" si="213"/>
        <v>7453.7956079999994</v>
      </c>
      <c r="AC162" s="1">
        <v>0</v>
      </c>
      <c r="AD162" s="1">
        <v>0</v>
      </c>
      <c r="AE162" s="2">
        <f t="shared" si="214"/>
        <v>8281.9951199999996</v>
      </c>
      <c r="AF162" s="2">
        <f t="shared" si="215"/>
        <v>8281.9951199999996</v>
      </c>
      <c r="AG162" s="1">
        <v>0</v>
      </c>
      <c r="AH162" s="1">
        <f t="shared" si="244"/>
        <v>14483.662307692308</v>
      </c>
      <c r="AI162" s="1">
        <f t="shared" si="237"/>
        <v>9110.1946320000006</v>
      </c>
      <c r="AJ162" s="2">
        <f t="shared" si="238"/>
        <v>8281.9951199999996</v>
      </c>
      <c r="AK162" s="1">
        <f t="shared" si="216"/>
        <v>11346.333314400001</v>
      </c>
      <c r="AL162" s="2">
        <f t="shared" si="217"/>
        <v>8281.9951199999996</v>
      </c>
      <c r="AM162" s="2">
        <f t="shared" si="218"/>
        <v>8281.9951199999996</v>
      </c>
      <c r="AN162" s="2">
        <f t="shared" si="219"/>
        <v>9110.1946320000006</v>
      </c>
      <c r="AO162" s="2">
        <f t="shared" si="220"/>
        <v>8281.9951199999996</v>
      </c>
      <c r="AP162" s="2">
        <f t="shared" si="221"/>
        <v>8034.0507060000009</v>
      </c>
      <c r="AQ162" s="2">
        <f t="shared" si="222"/>
        <v>8281.9951199999996</v>
      </c>
      <c r="AR162" s="1">
        <f t="shared" si="223"/>
        <v>10345.473076923077</v>
      </c>
      <c r="AS162" s="1">
        <f t="shared" si="224"/>
        <v>8034.0507060000009</v>
      </c>
      <c r="AT162" s="2">
        <f t="shared" si="225"/>
        <v>8281.9951199999996</v>
      </c>
      <c r="AU162" s="1">
        <v>8887.3561125000015</v>
      </c>
      <c r="AV162" s="2">
        <f t="shared" si="226"/>
        <v>8837.4557766000016</v>
      </c>
      <c r="AW162" s="2">
        <f t="shared" si="227"/>
        <v>8281.9951199999996</v>
      </c>
      <c r="AX162" s="1">
        <f t="shared" si="228"/>
        <v>7867.8953639999991</v>
      </c>
      <c r="AY162" s="2" t="str">
        <f t="shared" si="205"/>
        <v>7288.16 IPPS</v>
      </c>
      <c r="AZ162" s="1">
        <v>0</v>
      </c>
      <c r="BA162" s="1">
        <v>0</v>
      </c>
      <c r="BB162" s="1">
        <v>0</v>
      </c>
      <c r="BC162" s="1">
        <f t="shared" si="239"/>
        <v>8281.9951199999996</v>
      </c>
      <c r="BD162" s="1">
        <f t="shared" si="240"/>
        <v>9110.1946320000006</v>
      </c>
      <c r="BE162" s="1">
        <f t="shared" si="241"/>
        <v>7453.7956079999994</v>
      </c>
      <c r="BF162" s="1">
        <v>0</v>
      </c>
      <c r="BG162" s="1">
        <v>0</v>
      </c>
      <c r="BH162" s="1">
        <v>0</v>
      </c>
      <c r="BI162" s="2">
        <f t="shared" si="229"/>
        <v>9938.3941439999999</v>
      </c>
      <c r="BJ162" s="2">
        <f t="shared" si="230"/>
        <v>8281.9951199999996</v>
      </c>
      <c r="BK162" s="2">
        <f t="shared" si="231"/>
        <v>7867.8953639999991</v>
      </c>
      <c r="BL162" s="2">
        <f t="shared" si="232"/>
        <v>8281.9951199999996</v>
      </c>
      <c r="BM162" s="13">
        <f>1.0164*10145</f>
        <v>10311.377999999999</v>
      </c>
      <c r="BN162" s="2">
        <f t="shared" si="233"/>
        <v>8281.9951199999996</v>
      </c>
      <c r="BO162" s="2">
        <f t="shared" si="234"/>
        <v>0</v>
      </c>
      <c r="BP162" s="2">
        <f t="shared" si="235"/>
        <v>16910.122950000001</v>
      </c>
      <c r="BQ162" s="22"/>
    </row>
    <row r="163" spans="1:69" ht="20.100000000000001" customHeight="1" x14ac:dyDescent="0.2">
      <c r="A163" s="17">
        <f t="shared" si="203"/>
        <v>161</v>
      </c>
      <c r="B163" s="17">
        <v>331</v>
      </c>
      <c r="C163" s="18" t="s">
        <v>64</v>
      </c>
      <c r="D163" s="26" t="s">
        <v>258</v>
      </c>
      <c r="E163" s="18" t="s">
        <v>248</v>
      </c>
      <c r="F163" s="8">
        <v>95328.936666666661</v>
      </c>
      <c r="G163" s="18" t="s">
        <v>64</v>
      </c>
      <c r="H163" s="12">
        <v>0</v>
      </c>
      <c r="I163" s="24">
        <v>3</v>
      </c>
      <c r="J163" s="2">
        <f t="shared" si="206"/>
        <v>17929.358096</v>
      </c>
      <c r="K163" s="21" t="s">
        <v>249</v>
      </c>
      <c r="L163" s="1">
        <v>13791.813920000001</v>
      </c>
      <c r="M163" s="1">
        <v>10458.318162000001</v>
      </c>
      <c r="N163" s="1">
        <f>1.6892*10804.5</f>
        <v>18250.9614</v>
      </c>
      <c r="O163" s="2">
        <f t="shared" si="207"/>
        <v>13791.813920000001</v>
      </c>
      <c r="P163" s="2">
        <f t="shared" si="236"/>
        <v>17239.767400000001</v>
      </c>
      <c r="Q163" s="1">
        <v>0</v>
      </c>
      <c r="R163" s="1">
        <v>0</v>
      </c>
      <c r="S163" s="2">
        <f t="shared" si="208"/>
        <v>13791.813920000001</v>
      </c>
      <c r="T163" s="1">
        <f t="shared" si="209"/>
        <v>13344</v>
      </c>
      <c r="U163" s="1"/>
      <c r="V163" s="13">
        <f>1.7088*10568</f>
        <v>18058.598400000003</v>
      </c>
      <c r="W163" s="2">
        <f t="shared" si="210"/>
        <v>13791.813920000001</v>
      </c>
      <c r="X163" s="1">
        <f t="shared" si="242"/>
        <v>13791.813920000001</v>
      </c>
      <c r="Y163" s="1">
        <f t="shared" si="211"/>
        <v>13791.813920000001</v>
      </c>
      <c r="Z163" s="1">
        <f t="shared" si="243"/>
        <v>6606</v>
      </c>
      <c r="AA163" s="1">
        <f t="shared" si="212"/>
        <v>13102.223223999999</v>
      </c>
      <c r="AB163" s="1">
        <f t="shared" si="213"/>
        <v>12412.632528</v>
      </c>
      <c r="AC163" s="1">
        <v>0</v>
      </c>
      <c r="AD163" s="1">
        <v>0</v>
      </c>
      <c r="AE163" s="1">
        <f t="shared" si="214"/>
        <v>13791.813920000001</v>
      </c>
      <c r="AF163" s="1">
        <f t="shared" si="215"/>
        <v>13791.813920000001</v>
      </c>
      <c r="AG163" s="1">
        <v>0</v>
      </c>
      <c r="AH163" s="1">
        <f t="shared" si="244"/>
        <v>66730.255666666664</v>
      </c>
      <c r="AI163" s="1">
        <f t="shared" si="237"/>
        <v>15170.995312000001</v>
      </c>
      <c r="AJ163" s="2">
        <f t="shared" si="238"/>
        <v>13791.813920000001</v>
      </c>
      <c r="AK163" s="1">
        <f t="shared" si="216"/>
        <v>18894.785070400001</v>
      </c>
      <c r="AL163" s="1">
        <f t="shared" si="217"/>
        <v>13791.813920000001</v>
      </c>
      <c r="AM163" s="1">
        <f t="shared" si="218"/>
        <v>13791.813920000001</v>
      </c>
      <c r="AN163" s="2">
        <f t="shared" si="219"/>
        <v>15170.995312000001</v>
      </c>
      <c r="AO163" s="2">
        <f t="shared" si="220"/>
        <v>13791.813920000001</v>
      </c>
      <c r="AP163" s="2">
        <f t="shared" si="221"/>
        <v>10458.318162000001</v>
      </c>
      <c r="AQ163" s="1">
        <f t="shared" si="222"/>
        <v>13791.813920000001</v>
      </c>
      <c r="AR163" s="1">
        <f t="shared" si="223"/>
        <v>47664.468333333331</v>
      </c>
      <c r="AS163" s="1">
        <f t="shared" si="224"/>
        <v>10458.318162000001</v>
      </c>
      <c r="AT163" s="1">
        <f t="shared" si="225"/>
        <v>13791.813920000001</v>
      </c>
      <c r="AU163" s="1">
        <v>8887.3561125000015</v>
      </c>
      <c r="AV163" s="2">
        <f t="shared" si="226"/>
        <v>11504.149978200003</v>
      </c>
      <c r="AW163" s="1">
        <f t="shared" si="227"/>
        <v>13791.813920000001</v>
      </c>
      <c r="AX163" s="1">
        <f t="shared" si="228"/>
        <v>13102.223223999999</v>
      </c>
      <c r="AY163" s="2" t="str">
        <f t="shared" si="205"/>
        <v>12136.8 IPPS</v>
      </c>
      <c r="AZ163" s="1">
        <v>0</v>
      </c>
      <c r="BA163" s="1">
        <v>0</v>
      </c>
      <c r="BB163" s="1">
        <v>0</v>
      </c>
      <c r="BC163" s="1">
        <f t="shared" si="239"/>
        <v>13791.813920000001</v>
      </c>
      <c r="BD163" s="1">
        <f t="shared" si="240"/>
        <v>15170.995312000001</v>
      </c>
      <c r="BE163" s="1">
        <f t="shared" si="241"/>
        <v>12412.632528</v>
      </c>
      <c r="BF163" s="1">
        <v>0</v>
      </c>
      <c r="BG163" s="1">
        <v>0</v>
      </c>
      <c r="BH163" s="1">
        <v>0</v>
      </c>
      <c r="BI163" s="2">
        <f t="shared" si="229"/>
        <v>16550.176704000001</v>
      </c>
      <c r="BJ163" s="1">
        <f t="shared" si="230"/>
        <v>13791.813920000001</v>
      </c>
      <c r="BK163" s="2">
        <f t="shared" si="231"/>
        <v>13102.223223999999</v>
      </c>
      <c r="BL163" s="1">
        <f t="shared" si="232"/>
        <v>13791.813920000001</v>
      </c>
      <c r="BM163" s="13">
        <f>1.7088*10145</f>
        <v>17335.776000000002</v>
      </c>
      <c r="BN163" s="1">
        <f t="shared" si="233"/>
        <v>13791.813920000001</v>
      </c>
      <c r="BO163" s="2">
        <f t="shared" si="234"/>
        <v>0</v>
      </c>
      <c r="BP163" s="2">
        <f t="shared" si="235"/>
        <v>66730.255666666664</v>
      </c>
      <c r="BQ163" s="22"/>
    </row>
    <row r="164" spans="1:69" ht="20.100000000000001" customHeight="1" x14ac:dyDescent="0.2">
      <c r="A164" s="17">
        <f t="shared" si="203"/>
        <v>162</v>
      </c>
      <c r="B164" s="17">
        <v>872</v>
      </c>
      <c r="C164" s="18" t="s">
        <v>64</v>
      </c>
      <c r="D164" s="26" t="s">
        <v>259</v>
      </c>
      <c r="E164" s="18" t="s">
        <v>248</v>
      </c>
      <c r="F164" s="8">
        <v>17669.112499999999</v>
      </c>
      <c r="G164" s="18" t="s">
        <v>64</v>
      </c>
      <c r="H164" s="12">
        <v>0</v>
      </c>
      <c r="I164" s="24">
        <v>4</v>
      </c>
      <c r="J164" s="2">
        <f t="shared" si="206"/>
        <v>10801.806183999999</v>
      </c>
      <c r="K164" s="21" t="s">
        <v>249</v>
      </c>
      <c r="L164" s="1">
        <v>8309.0816799999993</v>
      </c>
      <c r="M164" s="1">
        <v>4061.1426310000002</v>
      </c>
      <c r="N164" s="1">
        <f>1.0393*10804.5</f>
        <v>11229.116849999999</v>
      </c>
      <c r="O164" s="2">
        <f t="shared" si="207"/>
        <v>8309.0816799999993</v>
      </c>
      <c r="P164" s="2">
        <f t="shared" si="236"/>
        <v>10386.3521</v>
      </c>
      <c r="Q164" s="1">
        <v>0</v>
      </c>
      <c r="R164" s="1">
        <v>0</v>
      </c>
      <c r="S164" s="2">
        <f t="shared" si="208"/>
        <v>8309.0816799999993</v>
      </c>
      <c r="T164" s="1">
        <f t="shared" si="209"/>
        <v>17792</v>
      </c>
      <c r="U164" s="1"/>
      <c r="V164" s="13">
        <f>1.028*10568</f>
        <v>10863.904</v>
      </c>
      <c r="W164" s="2">
        <f t="shared" si="210"/>
        <v>8309.0816799999993</v>
      </c>
      <c r="X164" s="1">
        <f t="shared" si="242"/>
        <v>8309.0816799999993</v>
      </c>
      <c r="Y164" s="2">
        <f t="shared" si="211"/>
        <v>8309.0816799999993</v>
      </c>
      <c r="Z164" s="1">
        <f t="shared" si="243"/>
        <v>8808</v>
      </c>
      <c r="AA164" s="1">
        <f t="shared" si="212"/>
        <v>7893.6275959999994</v>
      </c>
      <c r="AB164" s="1">
        <f t="shared" si="213"/>
        <v>7478.1735119999994</v>
      </c>
      <c r="AC164" s="1">
        <v>0</v>
      </c>
      <c r="AD164" s="1">
        <v>0</v>
      </c>
      <c r="AE164" s="2">
        <f t="shared" si="214"/>
        <v>8309.0816799999993</v>
      </c>
      <c r="AF164" s="2">
        <f t="shared" si="215"/>
        <v>8309.0816799999993</v>
      </c>
      <c r="AG164" s="1">
        <v>0</v>
      </c>
      <c r="AH164" s="1">
        <f t="shared" si="244"/>
        <v>12368.378749999998</v>
      </c>
      <c r="AI164" s="1">
        <f t="shared" si="237"/>
        <v>9139.9898479999993</v>
      </c>
      <c r="AJ164" s="2">
        <f t="shared" si="238"/>
        <v>8309.0816799999993</v>
      </c>
      <c r="AK164" s="1">
        <f t="shared" si="216"/>
        <v>11383.441901599999</v>
      </c>
      <c r="AL164" s="2">
        <f t="shared" si="217"/>
        <v>8309.0816799999993</v>
      </c>
      <c r="AM164" s="2">
        <f t="shared" si="218"/>
        <v>8309.0816799999993</v>
      </c>
      <c r="AN164" s="2">
        <f t="shared" si="219"/>
        <v>9139.9898479999993</v>
      </c>
      <c r="AO164" s="2">
        <f t="shared" si="220"/>
        <v>8309.0816799999993</v>
      </c>
      <c r="AP164" s="2">
        <f t="shared" si="221"/>
        <v>4061.1426310000002</v>
      </c>
      <c r="AQ164" s="2">
        <f t="shared" si="222"/>
        <v>8309.0816799999993</v>
      </c>
      <c r="AR164" s="1">
        <f t="shared" si="223"/>
        <v>8834.5562499999996</v>
      </c>
      <c r="AS164" s="1">
        <f t="shared" si="224"/>
        <v>4061.1426310000002</v>
      </c>
      <c r="AT164" s="2">
        <f t="shared" si="225"/>
        <v>8309.0816799999993</v>
      </c>
      <c r="AU164" s="1">
        <v>11849.808150000003</v>
      </c>
      <c r="AV164" s="2">
        <f t="shared" si="226"/>
        <v>4467.2568941000009</v>
      </c>
      <c r="AW164" s="2">
        <f t="shared" si="227"/>
        <v>8309.0816799999993</v>
      </c>
      <c r="AX164" s="1">
        <f t="shared" si="228"/>
        <v>7893.6275959999994</v>
      </c>
      <c r="AY164" s="2" t="str">
        <f t="shared" si="205"/>
        <v>7311.99 IPPS</v>
      </c>
      <c r="AZ164" s="1">
        <v>0</v>
      </c>
      <c r="BA164" s="1">
        <v>0</v>
      </c>
      <c r="BB164" s="1">
        <v>0</v>
      </c>
      <c r="BC164" s="1">
        <f t="shared" si="239"/>
        <v>8309.0816799999993</v>
      </c>
      <c r="BD164" s="1">
        <f t="shared" si="240"/>
        <v>9139.9898479999993</v>
      </c>
      <c r="BE164" s="1">
        <f t="shared" si="241"/>
        <v>7478.1735119999994</v>
      </c>
      <c r="BF164" s="1">
        <v>0</v>
      </c>
      <c r="BG164" s="1">
        <v>0</v>
      </c>
      <c r="BH164" s="1">
        <v>0</v>
      </c>
      <c r="BI164" s="2">
        <f t="shared" si="229"/>
        <v>9970.8980159999992</v>
      </c>
      <c r="BJ164" s="2">
        <f t="shared" si="230"/>
        <v>8309.0816799999993</v>
      </c>
      <c r="BK164" s="2">
        <f t="shared" si="231"/>
        <v>7893.6275959999994</v>
      </c>
      <c r="BL164" s="2">
        <f t="shared" si="232"/>
        <v>8309.0816799999993</v>
      </c>
      <c r="BM164" s="13">
        <f>1.028*10145</f>
        <v>10429.06</v>
      </c>
      <c r="BN164" s="2">
        <f t="shared" si="233"/>
        <v>8309.0816799999993</v>
      </c>
      <c r="BO164" s="2">
        <f t="shared" si="234"/>
        <v>0</v>
      </c>
      <c r="BP164" s="2">
        <f t="shared" si="235"/>
        <v>17792</v>
      </c>
      <c r="BQ164" s="22"/>
    </row>
    <row r="165" spans="1:69" ht="20.100000000000001" customHeight="1" x14ac:dyDescent="0.2">
      <c r="A165" s="17">
        <f t="shared" si="203"/>
        <v>163</v>
      </c>
      <c r="B165" s="17">
        <v>638</v>
      </c>
      <c r="C165" s="18" t="s">
        <v>64</v>
      </c>
      <c r="D165" s="19" t="s">
        <v>260</v>
      </c>
      <c r="E165" s="18" t="s">
        <v>248</v>
      </c>
      <c r="F165" s="8">
        <v>21415.671666666665</v>
      </c>
      <c r="G165" s="18" t="s">
        <v>64</v>
      </c>
      <c r="H165" s="12">
        <v>0</v>
      </c>
      <c r="I165" s="24">
        <v>3</v>
      </c>
      <c r="J165" s="2">
        <f t="shared" si="206"/>
        <v>9329.708544000001</v>
      </c>
      <c r="K165" s="21" t="s">
        <v>249</v>
      </c>
      <c r="L165" s="1">
        <v>7176.6988800000008</v>
      </c>
      <c r="M165" s="1">
        <v>2914.0633640000005</v>
      </c>
      <c r="N165" s="1">
        <f>0.8841*10804.5</f>
        <v>9552.2584499999994</v>
      </c>
      <c r="O165" s="2">
        <f t="shared" si="207"/>
        <v>7176.6988800000008</v>
      </c>
      <c r="P165" s="2">
        <f t="shared" si="236"/>
        <v>8970.8736000000008</v>
      </c>
      <c r="Q165" s="1">
        <v>0</v>
      </c>
      <c r="R165" s="1">
        <v>0</v>
      </c>
      <c r="S165" s="2">
        <f t="shared" si="208"/>
        <v>7176.6988800000008</v>
      </c>
      <c r="T165" s="1">
        <f t="shared" si="209"/>
        <v>13344</v>
      </c>
      <c r="U165" s="1"/>
      <c r="V165" s="13">
        <f>0.876*10568</f>
        <v>9257.5679999999993</v>
      </c>
      <c r="W165" s="2">
        <f t="shared" si="210"/>
        <v>7176.6988800000008</v>
      </c>
      <c r="X165" s="1">
        <f t="shared" si="242"/>
        <v>7176.6988800000008</v>
      </c>
      <c r="Y165" s="2">
        <f t="shared" si="211"/>
        <v>7176.6988800000008</v>
      </c>
      <c r="Z165" s="1">
        <f t="shared" si="243"/>
        <v>6606</v>
      </c>
      <c r="AA165" s="1">
        <f t="shared" si="212"/>
        <v>6817.8639360000006</v>
      </c>
      <c r="AB165" s="1">
        <f t="shared" si="213"/>
        <v>6459.0289920000005</v>
      </c>
      <c r="AC165" s="1">
        <v>0</v>
      </c>
      <c r="AD165" s="1">
        <v>0</v>
      </c>
      <c r="AE165" s="2">
        <f t="shared" si="214"/>
        <v>7176.6988800000008</v>
      </c>
      <c r="AF165" s="2">
        <f t="shared" si="215"/>
        <v>7176.6988800000008</v>
      </c>
      <c r="AG165" s="1">
        <v>0</v>
      </c>
      <c r="AH165" s="1">
        <f t="shared" si="244"/>
        <v>14990.970166666664</v>
      </c>
      <c r="AI165" s="1">
        <f t="shared" si="237"/>
        <v>7894.3687680000012</v>
      </c>
      <c r="AJ165" s="2">
        <f t="shared" si="238"/>
        <v>7176.6988800000008</v>
      </c>
      <c r="AK165" s="1">
        <f t="shared" si="216"/>
        <v>9832.0774656000012</v>
      </c>
      <c r="AL165" s="2">
        <f t="shared" si="217"/>
        <v>7176.6988800000008</v>
      </c>
      <c r="AM165" s="2">
        <f t="shared" si="218"/>
        <v>7176.6988800000008</v>
      </c>
      <c r="AN165" s="2">
        <f t="shared" si="219"/>
        <v>7894.3687680000012</v>
      </c>
      <c r="AO165" s="2">
        <f t="shared" si="220"/>
        <v>7176.6988800000008</v>
      </c>
      <c r="AP165" s="2">
        <f t="shared" si="221"/>
        <v>2914.0633640000005</v>
      </c>
      <c r="AQ165" s="2">
        <f t="shared" si="222"/>
        <v>7176.6988800000008</v>
      </c>
      <c r="AR165" s="1">
        <f t="shared" si="223"/>
        <v>10707.835833333333</v>
      </c>
      <c r="AS165" s="1">
        <f t="shared" si="224"/>
        <v>2914.0633640000005</v>
      </c>
      <c r="AT165" s="2">
        <f t="shared" si="225"/>
        <v>7176.6988800000008</v>
      </c>
      <c r="AU165" s="1">
        <v>8887.3561125000015</v>
      </c>
      <c r="AV165" s="2">
        <f t="shared" si="226"/>
        <v>3205.4697004000009</v>
      </c>
      <c r="AW165" s="2">
        <f t="shared" si="227"/>
        <v>7176.6988800000008</v>
      </c>
      <c r="AX165" s="1">
        <f t="shared" si="228"/>
        <v>6817.8639360000006</v>
      </c>
      <c r="AY165" s="2" t="str">
        <f t="shared" si="205"/>
        <v>6315.5 IPPS</v>
      </c>
      <c r="AZ165" s="1">
        <v>0</v>
      </c>
      <c r="BA165" s="1">
        <v>0</v>
      </c>
      <c r="BB165" s="1">
        <v>0</v>
      </c>
      <c r="BC165" s="1">
        <f t="shared" si="239"/>
        <v>7176.6988800000008</v>
      </c>
      <c r="BD165" s="1">
        <f t="shared" si="240"/>
        <v>7894.3687680000012</v>
      </c>
      <c r="BE165" s="1">
        <f t="shared" si="241"/>
        <v>6459.0289920000005</v>
      </c>
      <c r="BF165" s="1">
        <v>0</v>
      </c>
      <c r="BG165" s="1">
        <v>0</v>
      </c>
      <c r="BH165" s="1">
        <v>0</v>
      </c>
      <c r="BI165" s="2">
        <f t="shared" si="229"/>
        <v>8612.0386560000006</v>
      </c>
      <c r="BJ165" s="2">
        <f t="shared" si="230"/>
        <v>7176.6988800000008</v>
      </c>
      <c r="BK165" s="2">
        <f t="shared" si="231"/>
        <v>6817.8639360000006</v>
      </c>
      <c r="BL165" s="2">
        <f t="shared" si="232"/>
        <v>7176.6988800000008</v>
      </c>
      <c r="BM165" s="13">
        <f>0.876*10145</f>
        <v>8887.02</v>
      </c>
      <c r="BN165" s="2">
        <f t="shared" si="233"/>
        <v>7176.6988800000008</v>
      </c>
      <c r="BO165" s="2">
        <f t="shared" si="234"/>
        <v>0</v>
      </c>
      <c r="BP165" s="2">
        <f t="shared" si="235"/>
        <v>14990.970166666664</v>
      </c>
      <c r="BQ165" s="22"/>
    </row>
    <row r="166" spans="1:69" ht="20.100000000000001" customHeight="1" x14ac:dyDescent="0.2">
      <c r="A166" s="17">
        <f t="shared" si="203"/>
        <v>164</v>
      </c>
      <c r="B166" s="17">
        <v>870</v>
      </c>
      <c r="C166" s="18" t="s">
        <v>64</v>
      </c>
      <c r="D166" s="26" t="s">
        <v>261</v>
      </c>
      <c r="E166" s="18" t="s">
        <v>248</v>
      </c>
      <c r="F166" s="8">
        <v>127774</v>
      </c>
      <c r="G166" s="18" t="s">
        <v>64</v>
      </c>
      <c r="H166" s="12">
        <v>0</v>
      </c>
      <c r="I166" s="24">
        <v>12</v>
      </c>
      <c r="J166" s="2">
        <f t="shared" si="206"/>
        <v>66737.461647999997</v>
      </c>
      <c r="K166" s="21" t="s">
        <v>249</v>
      </c>
      <c r="L166" s="1">
        <v>51336.508959999999</v>
      </c>
      <c r="M166" s="1">
        <v>4061.1426310000002</v>
      </c>
      <c r="N166" s="1">
        <f>6.3243*10804.5</f>
        <v>68330.899350000007</v>
      </c>
      <c r="O166" s="2">
        <f t="shared" si="207"/>
        <v>51336.508959999999</v>
      </c>
      <c r="P166" s="2">
        <f>1.25*L166</f>
        <v>64170.636200000001</v>
      </c>
      <c r="Q166" s="1">
        <v>0</v>
      </c>
      <c r="R166" s="1">
        <v>0</v>
      </c>
      <c r="S166" s="2">
        <f t="shared" si="208"/>
        <v>51336.508959999999</v>
      </c>
      <c r="T166" s="1">
        <f t="shared" si="209"/>
        <v>53376</v>
      </c>
      <c r="U166" s="1"/>
      <c r="V166" s="13">
        <f>6.7909*10568</f>
        <v>71766.231199999995</v>
      </c>
      <c r="W166" s="2">
        <f t="shared" si="210"/>
        <v>51336.508959999999</v>
      </c>
      <c r="X166" s="1">
        <f t="shared" si="242"/>
        <v>51336.508959999999</v>
      </c>
      <c r="Y166" s="2">
        <f t="shared" si="211"/>
        <v>51336.508959999999</v>
      </c>
      <c r="Z166" s="1">
        <f t="shared" si="243"/>
        <v>26424</v>
      </c>
      <c r="AA166" s="1">
        <f t="shared" si="212"/>
        <v>48769.683511999996</v>
      </c>
      <c r="AB166" s="1">
        <f t="shared" si="213"/>
        <v>46202.858064</v>
      </c>
      <c r="AC166" s="1">
        <v>0</v>
      </c>
      <c r="AD166" s="1">
        <v>0</v>
      </c>
      <c r="AE166" s="2">
        <f t="shared" si="214"/>
        <v>51336.508959999999</v>
      </c>
      <c r="AF166" s="2">
        <f t="shared" si="215"/>
        <v>51336.508959999999</v>
      </c>
      <c r="AG166" s="1">
        <v>0</v>
      </c>
      <c r="AH166" s="1">
        <f t="shared" si="244"/>
        <v>89441.799999999988</v>
      </c>
      <c r="AI166" s="1">
        <f t="shared" si="237"/>
        <v>56470.159856000006</v>
      </c>
      <c r="AJ166" s="2">
        <f t="shared" si="238"/>
        <v>51336.508959999999</v>
      </c>
      <c r="AK166" s="1">
        <f t="shared" si="216"/>
        <v>70331.017275200007</v>
      </c>
      <c r="AL166" s="2">
        <f t="shared" si="217"/>
        <v>51336.508959999999</v>
      </c>
      <c r="AM166" s="2">
        <f t="shared" si="218"/>
        <v>51336.508959999999</v>
      </c>
      <c r="AN166" s="2">
        <f t="shared" si="219"/>
        <v>56470.159856000006</v>
      </c>
      <c r="AO166" s="2">
        <f t="shared" si="220"/>
        <v>51336.508959999999</v>
      </c>
      <c r="AP166" s="2">
        <f t="shared" si="221"/>
        <v>4061.1426310000002</v>
      </c>
      <c r="AQ166" s="2">
        <f t="shared" si="222"/>
        <v>51336.508959999999</v>
      </c>
      <c r="AR166" s="1">
        <f t="shared" si="223"/>
        <v>63887</v>
      </c>
      <c r="AS166" s="1">
        <f t="shared" si="224"/>
        <v>4061.1426310000002</v>
      </c>
      <c r="AT166" s="2">
        <f t="shared" si="225"/>
        <v>51336.508959999999</v>
      </c>
      <c r="AU166" s="1">
        <v>38769.806537343757</v>
      </c>
      <c r="AV166" s="2">
        <f t="shared" si="226"/>
        <v>4467.2568941000009</v>
      </c>
      <c r="AW166" s="2">
        <f t="shared" si="227"/>
        <v>51336.508959999999</v>
      </c>
      <c r="AX166" s="1">
        <f t="shared" si="228"/>
        <v>48769.683511999996</v>
      </c>
      <c r="AY166" s="2" t="str">
        <f t="shared" si="205"/>
        <v>45176.13 IPPS</v>
      </c>
      <c r="AZ166" s="1">
        <v>0</v>
      </c>
      <c r="BA166" s="1">
        <v>0</v>
      </c>
      <c r="BB166" s="1">
        <v>0</v>
      </c>
      <c r="BC166" s="1">
        <f t="shared" si="239"/>
        <v>51336.508959999999</v>
      </c>
      <c r="BD166" s="1">
        <f t="shared" si="240"/>
        <v>56470.159856000006</v>
      </c>
      <c r="BE166" s="1">
        <f t="shared" si="241"/>
        <v>46202.858064</v>
      </c>
      <c r="BF166" s="1">
        <v>0</v>
      </c>
      <c r="BG166" s="1">
        <v>0</v>
      </c>
      <c r="BH166" s="1">
        <v>0</v>
      </c>
      <c r="BI166" s="2">
        <f t="shared" si="229"/>
        <v>61603.810751999998</v>
      </c>
      <c r="BJ166" s="2">
        <f t="shared" si="230"/>
        <v>51336.508959999999</v>
      </c>
      <c r="BK166" s="2">
        <f t="shared" si="231"/>
        <v>48769.683511999996</v>
      </c>
      <c r="BL166" s="2">
        <f t="shared" si="232"/>
        <v>51336.508959999999</v>
      </c>
      <c r="BM166" s="13">
        <f>6.7909*10145</f>
        <v>68893.680500000002</v>
      </c>
      <c r="BN166" s="2">
        <f t="shared" si="233"/>
        <v>51336.508959999999</v>
      </c>
      <c r="BO166" s="2">
        <f t="shared" si="234"/>
        <v>0</v>
      </c>
      <c r="BP166" s="2">
        <f t="shared" si="235"/>
        <v>89441.799999999988</v>
      </c>
      <c r="BQ166" s="22"/>
    </row>
    <row r="167" spans="1:69" ht="20.100000000000001" customHeight="1" x14ac:dyDescent="0.2">
      <c r="A167" s="17">
        <f t="shared" si="203"/>
        <v>165</v>
      </c>
      <c r="B167" s="17">
        <v>329</v>
      </c>
      <c r="C167" s="18" t="s">
        <v>64</v>
      </c>
      <c r="D167" s="19" t="s">
        <v>262</v>
      </c>
      <c r="E167" s="18" t="s">
        <v>248</v>
      </c>
      <c r="F167" s="8">
        <v>146861.60636363633</v>
      </c>
      <c r="G167" s="18" t="s">
        <v>64</v>
      </c>
      <c r="H167" s="12">
        <v>0</v>
      </c>
      <c r="I167" s="24">
        <v>10</v>
      </c>
      <c r="J167" s="2">
        <f t="shared" si="206"/>
        <v>50437.73300800001</v>
      </c>
      <c r="K167" s="21" t="s">
        <v>249</v>
      </c>
      <c r="L167" s="1">
        <v>38798.256160000004</v>
      </c>
      <c r="M167" s="1">
        <v>10458.318162000001</v>
      </c>
      <c r="N167" s="1">
        <f>4.9072*10804.5</f>
        <v>53019.842399999994</v>
      </c>
      <c r="O167" s="2">
        <f t="shared" si="207"/>
        <v>38798.256160000004</v>
      </c>
      <c r="P167" s="2">
        <f>F167*0.5</f>
        <v>73430.803181818163</v>
      </c>
      <c r="Q167" s="1">
        <v>0</v>
      </c>
      <c r="R167" s="1">
        <v>0</v>
      </c>
      <c r="S167" s="2">
        <f t="shared" si="208"/>
        <v>38798.256160000004</v>
      </c>
      <c r="T167" s="1">
        <f t="shared" si="209"/>
        <v>44480</v>
      </c>
      <c r="U167" s="1"/>
      <c r="V167" s="13">
        <f>4.6233*10568</f>
        <v>48859.034400000004</v>
      </c>
      <c r="W167" s="2">
        <f t="shared" si="210"/>
        <v>38798.256160000004</v>
      </c>
      <c r="X167" s="1">
        <f t="shared" si="242"/>
        <v>38798.256160000004</v>
      </c>
      <c r="Y167" s="1">
        <f t="shared" si="211"/>
        <v>38798.256160000004</v>
      </c>
      <c r="Z167" s="1">
        <f t="shared" si="243"/>
        <v>22020</v>
      </c>
      <c r="AA167" s="1">
        <f t="shared" si="212"/>
        <v>36858.343352000004</v>
      </c>
      <c r="AB167" s="1">
        <f t="shared" si="213"/>
        <v>34918.430544000003</v>
      </c>
      <c r="AC167" s="1">
        <v>0</v>
      </c>
      <c r="AD167" s="1">
        <v>0</v>
      </c>
      <c r="AE167" s="1">
        <f t="shared" si="214"/>
        <v>38798.256160000004</v>
      </c>
      <c r="AF167" s="1">
        <f t="shared" si="215"/>
        <v>38798.256160000004</v>
      </c>
      <c r="AG167" s="1">
        <v>0</v>
      </c>
      <c r="AH167" s="1">
        <f t="shared" si="244"/>
        <v>102803.12445454542</v>
      </c>
      <c r="AI167" s="1">
        <f t="shared" si="237"/>
        <v>42678.081776000006</v>
      </c>
      <c r="AJ167" s="2">
        <f t="shared" si="238"/>
        <v>38798.256160000004</v>
      </c>
      <c r="AK167" s="1">
        <f t="shared" si="216"/>
        <v>53153.610939200007</v>
      </c>
      <c r="AL167" s="1">
        <f t="shared" si="217"/>
        <v>38798.256160000004</v>
      </c>
      <c r="AM167" s="1">
        <f t="shared" si="218"/>
        <v>38798.256160000004</v>
      </c>
      <c r="AN167" s="2">
        <f t="shared" si="219"/>
        <v>42678.081776000006</v>
      </c>
      <c r="AO167" s="2">
        <f t="shared" si="220"/>
        <v>38798.256160000004</v>
      </c>
      <c r="AP167" s="2">
        <f t="shared" si="221"/>
        <v>10458.318162000001</v>
      </c>
      <c r="AQ167" s="1">
        <f t="shared" si="222"/>
        <v>38798.256160000004</v>
      </c>
      <c r="AR167" s="1">
        <f t="shared" si="223"/>
        <v>73430.803181818163</v>
      </c>
      <c r="AS167" s="1">
        <f t="shared" si="224"/>
        <v>10458.318162000001</v>
      </c>
      <c r="AT167" s="1">
        <f t="shared" si="225"/>
        <v>38798.256160000004</v>
      </c>
      <c r="AU167" s="1">
        <v>40755.122768379377</v>
      </c>
      <c r="AV167" s="2">
        <f t="shared" si="226"/>
        <v>11504.149978200003</v>
      </c>
      <c r="AW167" s="1">
        <f t="shared" si="227"/>
        <v>38798.256160000004</v>
      </c>
      <c r="AX167" s="1">
        <f t="shared" si="228"/>
        <v>36858.343352000004</v>
      </c>
      <c r="AY167" s="2" t="str">
        <f t="shared" si="205"/>
        <v>34142.47 IPPS</v>
      </c>
      <c r="AZ167" s="1">
        <v>0</v>
      </c>
      <c r="BA167" s="1">
        <v>0</v>
      </c>
      <c r="BB167" s="1">
        <v>0</v>
      </c>
      <c r="BC167" s="1">
        <f t="shared" si="239"/>
        <v>38798.256160000004</v>
      </c>
      <c r="BD167" s="1">
        <f t="shared" si="240"/>
        <v>42678.081776000006</v>
      </c>
      <c r="BE167" s="1">
        <f t="shared" si="241"/>
        <v>34918.430544000003</v>
      </c>
      <c r="BF167" s="1">
        <v>0</v>
      </c>
      <c r="BG167" s="1">
        <v>0</v>
      </c>
      <c r="BH167" s="1">
        <v>0</v>
      </c>
      <c r="BI167" s="2">
        <f t="shared" si="229"/>
        <v>46557.907392000001</v>
      </c>
      <c r="BJ167" s="1">
        <f t="shared" si="230"/>
        <v>38798.256160000004</v>
      </c>
      <c r="BK167" s="2">
        <f t="shared" si="231"/>
        <v>36858.343352000004</v>
      </c>
      <c r="BL167" s="1">
        <f t="shared" si="232"/>
        <v>38798.256160000004</v>
      </c>
      <c r="BM167" s="13">
        <f>4.6233*10145</f>
        <v>46903.378500000006</v>
      </c>
      <c r="BN167" s="1">
        <f t="shared" si="233"/>
        <v>38798.256160000004</v>
      </c>
      <c r="BO167" s="2">
        <f t="shared" si="234"/>
        <v>0</v>
      </c>
      <c r="BP167" s="2">
        <f t="shared" si="235"/>
        <v>102803.12445454542</v>
      </c>
      <c r="BQ167" s="22"/>
    </row>
    <row r="168" spans="1:69" ht="20.100000000000001" customHeight="1" x14ac:dyDescent="0.2">
      <c r="A168" s="17">
        <f t="shared" si="203"/>
        <v>166</v>
      </c>
      <c r="B168" s="17">
        <v>683</v>
      </c>
      <c r="C168" s="18" t="s">
        <v>64</v>
      </c>
      <c r="D168" s="19" t="s">
        <v>263</v>
      </c>
      <c r="E168" s="18" t="s">
        <v>248</v>
      </c>
      <c r="F168" s="8">
        <v>27042.813636363637</v>
      </c>
      <c r="G168" s="18" t="s">
        <v>64</v>
      </c>
      <c r="H168" s="12">
        <v>0</v>
      </c>
      <c r="I168" s="24">
        <v>3</v>
      </c>
      <c r="J168" s="2">
        <f t="shared" si="206"/>
        <v>9316.2495920000001</v>
      </c>
      <c r="K168" s="21" t="s">
        <v>249</v>
      </c>
      <c r="L168" s="1">
        <v>7166.34584</v>
      </c>
      <c r="M168" s="1">
        <v>3232.6169460000006</v>
      </c>
      <c r="N168" s="1">
        <f>0.8973*10804.5</f>
        <v>9694.8778500000008</v>
      </c>
      <c r="O168" s="2">
        <f t="shared" si="207"/>
        <v>7166.34584</v>
      </c>
      <c r="P168" s="2">
        <f t="shared" ref="P168:P192" si="245">1.25*L168</f>
        <v>8957.9323000000004</v>
      </c>
      <c r="Q168" s="1">
        <v>0</v>
      </c>
      <c r="R168" s="1">
        <v>0</v>
      </c>
      <c r="S168" s="2">
        <f t="shared" si="208"/>
        <v>7166.34584</v>
      </c>
      <c r="T168" s="1">
        <f t="shared" si="209"/>
        <v>13344</v>
      </c>
      <c r="U168" s="1"/>
      <c r="V168" s="13">
        <f>0.8949*10568</f>
        <v>9457.3032000000003</v>
      </c>
      <c r="W168" s="2">
        <f t="shared" si="210"/>
        <v>7166.34584</v>
      </c>
      <c r="X168" s="1">
        <f t="shared" si="242"/>
        <v>7166.34584</v>
      </c>
      <c r="Y168" s="2">
        <f t="shared" si="211"/>
        <v>7166.34584</v>
      </c>
      <c r="Z168" s="1">
        <f t="shared" si="243"/>
        <v>6606</v>
      </c>
      <c r="AA168" s="1">
        <f t="shared" si="212"/>
        <v>6808.0285479999993</v>
      </c>
      <c r="AB168" s="1">
        <f t="shared" si="213"/>
        <v>6449.7112560000005</v>
      </c>
      <c r="AC168" s="1">
        <v>0</v>
      </c>
      <c r="AD168" s="1">
        <v>0</v>
      </c>
      <c r="AE168" s="2">
        <f t="shared" si="214"/>
        <v>7166.34584</v>
      </c>
      <c r="AF168" s="2">
        <f t="shared" si="215"/>
        <v>7166.34584</v>
      </c>
      <c r="AG168" s="1">
        <v>0</v>
      </c>
      <c r="AH168" s="1">
        <f t="shared" si="244"/>
        <v>18929.969545454544</v>
      </c>
      <c r="AI168" s="1">
        <f t="shared" si="237"/>
        <v>7882.9804240000003</v>
      </c>
      <c r="AJ168" s="2">
        <f t="shared" si="238"/>
        <v>7166.34584</v>
      </c>
      <c r="AK168" s="1">
        <f t="shared" si="216"/>
        <v>9817.8938008000005</v>
      </c>
      <c r="AL168" s="2">
        <f t="shared" si="217"/>
        <v>7166.34584</v>
      </c>
      <c r="AM168" s="2">
        <f t="shared" si="218"/>
        <v>7166.34584</v>
      </c>
      <c r="AN168" s="2">
        <f t="shared" si="219"/>
        <v>7882.9804240000003</v>
      </c>
      <c r="AO168" s="2">
        <f t="shared" si="220"/>
        <v>7166.34584</v>
      </c>
      <c r="AP168" s="2">
        <f t="shared" si="221"/>
        <v>3232.6169460000006</v>
      </c>
      <c r="AQ168" s="2">
        <f t="shared" si="222"/>
        <v>7166.34584</v>
      </c>
      <c r="AR168" s="1">
        <f t="shared" si="223"/>
        <v>13521.406818181818</v>
      </c>
      <c r="AS168" s="1">
        <f t="shared" si="224"/>
        <v>3232.6169460000006</v>
      </c>
      <c r="AT168" s="2">
        <f t="shared" si="225"/>
        <v>7166.34584</v>
      </c>
      <c r="AU168" s="1">
        <v>8887.3561125000015</v>
      </c>
      <c r="AV168" s="2">
        <f t="shared" si="226"/>
        <v>3555.8786406000008</v>
      </c>
      <c r="AW168" s="2">
        <f t="shared" si="227"/>
        <v>7166.34584</v>
      </c>
      <c r="AX168" s="1">
        <f t="shared" si="228"/>
        <v>6808.0285479999993</v>
      </c>
      <c r="AY168" s="2" t="str">
        <f t="shared" si="205"/>
        <v>6306.38 IPPS</v>
      </c>
      <c r="AZ168" s="1">
        <v>0</v>
      </c>
      <c r="BA168" s="1">
        <v>0</v>
      </c>
      <c r="BB168" s="1">
        <v>0</v>
      </c>
      <c r="BC168" s="1">
        <f t="shared" si="239"/>
        <v>7166.34584</v>
      </c>
      <c r="BD168" s="1">
        <f t="shared" si="240"/>
        <v>7882.9804240000003</v>
      </c>
      <c r="BE168" s="1">
        <f t="shared" si="241"/>
        <v>6449.7112560000005</v>
      </c>
      <c r="BF168" s="1">
        <v>0</v>
      </c>
      <c r="BG168" s="1">
        <v>0</v>
      </c>
      <c r="BH168" s="1">
        <v>0</v>
      </c>
      <c r="BI168" s="2">
        <f t="shared" si="229"/>
        <v>8599.6150079999989</v>
      </c>
      <c r="BJ168" s="2">
        <f t="shared" si="230"/>
        <v>7166.34584</v>
      </c>
      <c r="BK168" s="2">
        <f t="shared" si="231"/>
        <v>6808.0285479999993</v>
      </c>
      <c r="BL168" s="2">
        <f t="shared" si="232"/>
        <v>7166.34584</v>
      </c>
      <c r="BM168" s="13">
        <f>0.8949*10145</f>
        <v>9078.7605000000003</v>
      </c>
      <c r="BN168" s="2">
        <f t="shared" si="233"/>
        <v>7166.34584</v>
      </c>
      <c r="BO168" s="2">
        <f t="shared" si="234"/>
        <v>0</v>
      </c>
      <c r="BP168" s="2">
        <f t="shared" si="235"/>
        <v>18929.969545454544</v>
      </c>
      <c r="BQ168" s="22"/>
    </row>
    <row r="169" spans="1:69" ht="20.100000000000001" customHeight="1" x14ac:dyDescent="0.2">
      <c r="A169" s="17">
        <f t="shared" si="203"/>
        <v>167</v>
      </c>
      <c r="B169" s="17">
        <v>189</v>
      </c>
      <c r="C169" s="18" t="s">
        <v>64</v>
      </c>
      <c r="D169" s="19" t="s">
        <v>264</v>
      </c>
      <c r="E169" s="18" t="s">
        <v>248</v>
      </c>
      <c r="F169" s="8">
        <v>32867.64</v>
      </c>
      <c r="G169" s="18" t="s">
        <v>64</v>
      </c>
      <c r="H169" s="12">
        <v>0</v>
      </c>
      <c r="I169" s="24">
        <v>4</v>
      </c>
      <c r="J169" s="2">
        <f t="shared" si="206"/>
        <v>12905.391512</v>
      </c>
      <c r="K169" s="21" t="s">
        <v>249</v>
      </c>
      <c r="L169" s="1">
        <v>9927.2242399999996</v>
      </c>
      <c r="M169" s="1">
        <v>4078.3449650000007</v>
      </c>
      <c r="N169" s="1">
        <f>1.2157*10804.5</f>
        <v>13135.030650000001</v>
      </c>
      <c r="O169" s="2">
        <f t="shared" si="207"/>
        <v>9927.2242399999996</v>
      </c>
      <c r="P169" s="2">
        <f t="shared" si="245"/>
        <v>12409.030299999999</v>
      </c>
      <c r="Q169" s="1">
        <v>0</v>
      </c>
      <c r="R169" s="1">
        <v>0</v>
      </c>
      <c r="S169" s="2">
        <f t="shared" si="208"/>
        <v>9927.2242399999996</v>
      </c>
      <c r="T169" s="1">
        <f t="shared" ref="T169:T192" si="246">4191*I169</f>
        <v>16764</v>
      </c>
      <c r="U169" s="1"/>
      <c r="V169" s="13">
        <f>1.207*10568</f>
        <v>12755.576000000001</v>
      </c>
      <c r="W169" s="2">
        <f t="shared" si="210"/>
        <v>9927.2242399999996</v>
      </c>
      <c r="X169" s="1">
        <f t="shared" si="242"/>
        <v>9927.2242399999996</v>
      </c>
      <c r="Y169" s="2">
        <f t="shared" si="211"/>
        <v>9927.2242399999996</v>
      </c>
      <c r="Z169" s="1">
        <f t="shared" si="243"/>
        <v>8808</v>
      </c>
      <c r="AA169" s="1">
        <f t="shared" si="212"/>
        <v>9430.8630279999998</v>
      </c>
      <c r="AB169" s="1">
        <f t="shared" si="213"/>
        <v>8934.501816</v>
      </c>
      <c r="AC169" s="1">
        <v>0</v>
      </c>
      <c r="AD169" s="1">
        <v>0</v>
      </c>
      <c r="AE169" s="2">
        <f t="shared" si="214"/>
        <v>9927.2242399999996</v>
      </c>
      <c r="AF169" s="2">
        <f t="shared" si="215"/>
        <v>9927.2242399999996</v>
      </c>
      <c r="AG169" s="1">
        <v>0</v>
      </c>
      <c r="AH169" s="1">
        <f t="shared" si="244"/>
        <v>23007.347999999998</v>
      </c>
      <c r="AI169" s="1">
        <f t="shared" si="237"/>
        <v>10919.946664000001</v>
      </c>
      <c r="AJ169" s="2">
        <f t="shared" si="238"/>
        <v>9927.2242399999996</v>
      </c>
      <c r="AK169" s="1">
        <f t="shared" si="216"/>
        <v>13600.297208800001</v>
      </c>
      <c r="AL169" s="2">
        <f t="shared" si="217"/>
        <v>9927.2242399999996</v>
      </c>
      <c r="AM169" s="2">
        <f t="shared" si="218"/>
        <v>9927.2242399999996</v>
      </c>
      <c r="AN169" s="2">
        <f t="shared" si="219"/>
        <v>10919.946664000001</v>
      </c>
      <c r="AO169" s="2">
        <f t="shared" si="220"/>
        <v>9927.2242399999996</v>
      </c>
      <c r="AP169" s="2">
        <f t="shared" si="221"/>
        <v>4078.3449650000007</v>
      </c>
      <c r="AQ169" s="2">
        <f t="shared" si="222"/>
        <v>9927.2242399999996</v>
      </c>
      <c r="AR169" s="1">
        <f t="shared" si="223"/>
        <v>16433.82</v>
      </c>
      <c r="AS169" s="1">
        <f t="shared" si="224"/>
        <v>4078.3449650000007</v>
      </c>
      <c r="AT169" s="2">
        <f t="shared" si="225"/>
        <v>9927.2242399999996</v>
      </c>
      <c r="AU169" s="1">
        <v>11849.808150000003</v>
      </c>
      <c r="AV169" s="2">
        <f t="shared" si="226"/>
        <v>4486.1794615000008</v>
      </c>
      <c r="AW169" s="2">
        <f t="shared" si="227"/>
        <v>9927.2242399999996</v>
      </c>
      <c r="AX169" s="1">
        <f t="shared" si="228"/>
        <v>9430.8630279999998</v>
      </c>
      <c r="AY169" s="2" t="str">
        <f t="shared" si="205"/>
        <v>8735.96 IPPS</v>
      </c>
      <c r="AZ169" s="1">
        <v>0</v>
      </c>
      <c r="BA169" s="1">
        <v>0</v>
      </c>
      <c r="BB169" s="1">
        <v>0</v>
      </c>
      <c r="BC169" s="1">
        <f t="shared" si="239"/>
        <v>9927.2242399999996</v>
      </c>
      <c r="BD169" s="1">
        <f t="shared" si="240"/>
        <v>10919.946664000001</v>
      </c>
      <c r="BE169" s="1">
        <f t="shared" si="241"/>
        <v>8934.501816</v>
      </c>
      <c r="BF169" s="1">
        <v>0</v>
      </c>
      <c r="BG169" s="1">
        <v>0</v>
      </c>
      <c r="BH169" s="1">
        <v>0</v>
      </c>
      <c r="BI169" s="2">
        <f t="shared" si="229"/>
        <v>11912.669087999999</v>
      </c>
      <c r="BJ169" s="2">
        <f t="shared" si="230"/>
        <v>9927.2242399999996</v>
      </c>
      <c r="BK169" s="2">
        <f t="shared" si="231"/>
        <v>9430.8630279999998</v>
      </c>
      <c r="BL169" s="2">
        <f t="shared" si="232"/>
        <v>9927.2242399999996</v>
      </c>
      <c r="BM169" s="13">
        <f>1.207*9755</f>
        <v>11774.285</v>
      </c>
      <c r="BN169" s="2">
        <f t="shared" si="233"/>
        <v>9927.2242399999996</v>
      </c>
      <c r="BO169" s="2">
        <f t="shared" si="234"/>
        <v>0</v>
      </c>
      <c r="BP169" s="2">
        <f t="shared" si="235"/>
        <v>23007.347999999998</v>
      </c>
      <c r="BQ169" s="22"/>
    </row>
    <row r="170" spans="1:69" ht="20.100000000000001" customHeight="1" x14ac:dyDescent="0.2">
      <c r="A170" s="17">
        <f t="shared" si="203"/>
        <v>168</v>
      </c>
      <c r="B170" s="17">
        <v>193</v>
      </c>
      <c r="C170" s="18" t="s">
        <v>64</v>
      </c>
      <c r="D170" s="19" t="s">
        <v>265</v>
      </c>
      <c r="E170" s="18" t="s">
        <v>248</v>
      </c>
      <c r="F170" s="8">
        <v>52276.343999999997</v>
      </c>
      <c r="G170" s="18" t="s">
        <v>64</v>
      </c>
      <c r="H170" s="12">
        <v>0</v>
      </c>
      <c r="I170" s="24">
        <v>4</v>
      </c>
      <c r="J170" s="2">
        <f t="shared" si="206"/>
        <v>13794.659736</v>
      </c>
      <c r="K170" s="21" t="s">
        <v>249</v>
      </c>
      <c r="L170" s="1">
        <v>10611.27672</v>
      </c>
      <c r="M170" s="1">
        <v>3142.1294650000004</v>
      </c>
      <c r="N170" s="1">
        <f>1.3335*10804.5</f>
        <v>14407.800749999999</v>
      </c>
      <c r="O170" s="2">
        <f t="shared" si="207"/>
        <v>10611.27672</v>
      </c>
      <c r="P170" s="2">
        <f t="shared" si="245"/>
        <v>13264.0959</v>
      </c>
      <c r="Q170" s="1">
        <v>0</v>
      </c>
      <c r="R170" s="1">
        <v>0</v>
      </c>
      <c r="S170" s="2">
        <f t="shared" si="208"/>
        <v>10611.27672</v>
      </c>
      <c r="T170" s="1">
        <f t="shared" si="246"/>
        <v>16764</v>
      </c>
      <c r="U170" s="1"/>
      <c r="V170" s="13">
        <f>1.2987*10568</f>
        <v>13724.661599999999</v>
      </c>
      <c r="W170" s="2">
        <f t="shared" si="210"/>
        <v>10611.27672</v>
      </c>
      <c r="X170" s="1">
        <f t="shared" si="242"/>
        <v>10611.27672</v>
      </c>
      <c r="Y170" s="2">
        <f t="shared" si="211"/>
        <v>10611.27672</v>
      </c>
      <c r="Z170" s="1">
        <f t="shared" si="243"/>
        <v>8808</v>
      </c>
      <c r="AA170" s="1">
        <f t="shared" si="212"/>
        <v>10080.712883999999</v>
      </c>
      <c r="AB170" s="1">
        <f t="shared" si="213"/>
        <v>9550.1490479999993</v>
      </c>
      <c r="AC170" s="1">
        <v>0</v>
      </c>
      <c r="AD170" s="1">
        <v>0</v>
      </c>
      <c r="AE170" s="2">
        <f t="shared" si="214"/>
        <v>10611.27672</v>
      </c>
      <c r="AF170" s="2">
        <f t="shared" si="215"/>
        <v>10611.27672</v>
      </c>
      <c r="AG170" s="1">
        <v>0</v>
      </c>
      <c r="AH170" s="1">
        <f t="shared" si="244"/>
        <v>36593.440799999997</v>
      </c>
      <c r="AI170" s="1">
        <f t="shared" si="237"/>
        <v>11672.404392</v>
      </c>
      <c r="AJ170" s="2">
        <f t="shared" si="238"/>
        <v>10611.27672</v>
      </c>
      <c r="AK170" s="1">
        <f t="shared" si="216"/>
        <v>14537.449106400001</v>
      </c>
      <c r="AL170" s="2">
        <f t="shared" si="217"/>
        <v>10611.27672</v>
      </c>
      <c r="AM170" s="2">
        <f t="shared" si="218"/>
        <v>10611.27672</v>
      </c>
      <c r="AN170" s="2">
        <f t="shared" si="219"/>
        <v>11672.404392</v>
      </c>
      <c r="AO170" s="2">
        <f t="shared" si="220"/>
        <v>10611.27672</v>
      </c>
      <c r="AP170" s="2">
        <f t="shared" si="221"/>
        <v>3142.1294650000004</v>
      </c>
      <c r="AQ170" s="2">
        <f t="shared" si="222"/>
        <v>10611.27672</v>
      </c>
      <c r="AR170" s="1">
        <f t="shared" si="223"/>
        <v>26138.171999999999</v>
      </c>
      <c r="AS170" s="1">
        <f t="shared" si="224"/>
        <v>3142.1294650000004</v>
      </c>
      <c r="AT170" s="2">
        <f t="shared" si="225"/>
        <v>10611.27672</v>
      </c>
      <c r="AU170" s="1">
        <v>11849.808150000003</v>
      </c>
      <c r="AV170" s="2">
        <f t="shared" si="226"/>
        <v>3456.3424115000007</v>
      </c>
      <c r="AW170" s="2">
        <f t="shared" si="227"/>
        <v>10611.27672</v>
      </c>
      <c r="AX170" s="1">
        <f t="shared" si="228"/>
        <v>10080.712883999999</v>
      </c>
      <c r="AY170" s="2" t="str">
        <f t="shared" si="205"/>
        <v>9337.92 IPPS</v>
      </c>
      <c r="AZ170" s="1">
        <v>0</v>
      </c>
      <c r="BA170" s="1">
        <v>0</v>
      </c>
      <c r="BB170" s="1">
        <v>0</v>
      </c>
      <c r="BC170" s="1">
        <f t="shared" si="239"/>
        <v>10611.27672</v>
      </c>
      <c r="BD170" s="1">
        <f t="shared" si="240"/>
        <v>11672.404392</v>
      </c>
      <c r="BE170" s="1">
        <f t="shared" si="241"/>
        <v>9550.1490479999993</v>
      </c>
      <c r="BF170" s="1">
        <v>0</v>
      </c>
      <c r="BG170" s="1">
        <v>0</v>
      </c>
      <c r="BH170" s="1">
        <v>0</v>
      </c>
      <c r="BI170" s="2">
        <f t="shared" si="229"/>
        <v>12733.532063999999</v>
      </c>
      <c r="BJ170" s="2">
        <f t="shared" si="230"/>
        <v>10611.27672</v>
      </c>
      <c r="BK170" s="2">
        <f t="shared" si="231"/>
        <v>10080.712883999999</v>
      </c>
      <c r="BL170" s="2">
        <f t="shared" si="232"/>
        <v>10611.27672</v>
      </c>
      <c r="BM170" s="13">
        <f>1.2987*9755</f>
        <v>12668.818499999999</v>
      </c>
      <c r="BN170" s="2">
        <f t="shared" si="233"/>
        <v>10611.27672</v>
      </c>
      <c r="BO170" s="2">
        <f t="shared" si="234"/>
        <v>0</v>
      </c>
      <c r="BP170" s="2">
        <f t="shared" si="235"/>
        <v>36593.440799999997</v>
      </c>
      <c r="BQ170" s="22"/>
    </row>
    <row r="171" spans="1:69" ht="20.100000000000001" customHeight="1" x14ac:dyDescent="0.2">
      <c r="A171" s="17">
        <f t="shared" si="203"/>
        <v>169</v>
      </c>
      <c r="B171" s="17">
        <v>389</v>
      </c>
      <c r="C171" s="18" t="s">
        <v>64</v>
      </c>
      <c r="D171" s="19" t="s">
        <v>266</v>
      </c>
      <c r="E171" s="18" t="s">
        <v>248</v>
      </c>
      <c r="F171" s="8">
        <v>22601.421000000002</v>
      </c>
      <c r="G171" s="18" t="s">
        <v>64</v>
      </c>
      <c r="H171" s="12">
        <v>0</v>
      </c>
      <c r="I171" s="24">
        <v>3</v>
      </c>
      <c r="J171" s="2">
        <f t="shared" si="206"/>
        <v>8733.4069680000011</v>
      </c>
      <c r="K171" s="21" t="s">
        <v>249</v>
      </c>
      <c r="L171" s="1">
        <v>6718.0053600000001</v>
      </c>
      <c r="M171" s="1">
        <v>3644.6318700000002</v>
      </c>
      <c r="N171" s="1">
        <f>1.3891*10804.5</f>
        <v>15008.53095</v>
      </c>
      <c r="O171" s="2">
        <f t="shared" si="207"/>
        <v>6718.0053600000001</v>
      </c>
      <c r="P171" s="2">
        <f t="shared" si="245"/>
        <v>8397.5066999999999</v>
      </c>
      <c r="Q171" s="1">
        <v>0</v>
      </c>
      <c r="R171" s="1">
        <v>0</v>
      </c>
      <c r="S171" s="2">
        <f t="shared" si="208"/>
        <v>6718.0053600000001</v>
      </c>
      <c r="T171" s="1">
        <f t="shared" si="246"/>
        <v>12573</v>
      </c>
      <c r="U171" s="1"/>
      <c r="V171" s="13">
        <f>0.8071*10568</f>
        <v>8529.4328000000005</v>
      </c>
      <c r="W171" s="2">
        <f t="shared" si="210"/>
        <v>6718.0053600000001</v>
      </c>
      <c r="X171" s="1">
        <f t="shared" si="242"/>
        <v>6718.0053600000001</v>
      </c>
      <c r="Y171" s="2">
        <f t="shared" si="211"/>
        <v>6718.0053600000001</v>
      </c>
      <c r="Z171" s="1">
        <f t="shared" si="243"/>
        <v>6606</v>
      </c>
      <c r="AA171" s="1">
        <f t="shared" si="212"/>
        <v>6382.1050919999998</v>
      </c>
      <c r="AB171" s="1">
        <f t="shared" si="213"/>
        <v>6046.2048240000004</v>
      </c>
      <c r="AC171" s="1">
        <v>0</v>
      </c>
      <c r="AD171" s="1">
        <v>0</v>
      </c>
      <c r="AE171" s="2">
        <f t="shared" si="214"/>
        <v>6718.0053600000001</v>
      </c>
      <c r="AF171" s="2">
        <f t="shared" si="215"/>
        <v>6718.0053600000001</v>
      </c>
      <c r="AG171" s="1">
        <v>0</v>
      </c>
      <c r="AH171" s="1">
        <f t="shared" si="244"/>
        <v>15820.994700000001</v>
      </c>
      <c r="AI171" s="1">
        <f t="shared" si="237"/>
        <v>7389.8058960000008</v>
      </c>
      <c r="AJ171" s="2">
        <f t="shared" si="238"/>
        <v>6718.0053600000001</v>
      </c>
      <c r="AK171" s="1">
        <f t="shared" si="216"/>
        <v>9203.6673432000007</v>
      </c>
      <c r="AL171" s="2">
        <f t="shared" si="217"/>
        <v>6718.0053600000001</v>
      </c>
      <c r="AM171" s="2">
        <f t="shared" si="218"/>
        <v>6718.0053600000001</v>
      </c>
      <c r="AN171" s="2">
        <f t="shared" si="219"/>
        <v>7389.8058960000008</v>
      </c>
      <c r="AO171" s="2">
        <f t="shared" si="220"/>
        <v>6718.0053600000001</v>
      </c>
      <c r="AP171" s="2">
        <f t="shared" si="221"/>
        <v>3644.6318700000002</v>
      </c>
      <c r="AQ171" s="2">
        <f t="shared" si="222"/>
        <v>6718.0053600000001</v>
      </c>
      <c r="AR171" s="1">
        <f t="shared" si="223"/>
        <v>11300.710500000001</v>
      </c>
      <c r="AS171" s="1">
        <f t="shared" si="224"/>
        <v>3644.6318700000002</v>
      </c>
      <c r="AT171" s="2">
        <f t="shared" si="225"/>
        <v>6718.0053600000001</v>
      </c>
      <c r="AU171" s="1">
        <v>8887.3561125000015</v>
      </c>
      <c r="AV171" s="2">
        <f t="shared" si="226"/>
        <v>4009.0950570000005</v>
      </c>
      <c r="AW171" s="2">
        <f t="shared" si="227"/>
        <v>6718.0053600000001</v>
      </c>
      <c r="AX171" s="1">
        <f t="shared" si="228"/>
        <v>6382.1050919999998</v>
      </c>
      <c r="AY171" s="2" t="str">
        <f t="shared" si="205"/>
        <v>5911.84 IPPS</v>
      </c>
      <c r="AZ171" s="1">
        <v>0</v>
      </c>
      <c r="BA171" s="1">
        <v>0</v>
      </c>
      <c r="BB171" s="1">
        <v>0</v>
      </c>
      <c r="BC171" s="1">
        <f t="shared" si="239"/>
        <v>6718.0053600000001</v>
      </c>
      <c r="BD171" s="1">
        <f t="shared" si="240"/>
        <v>7389.8058960000008</v>
      </c>
      <c r="BE171" s="1">
        <f t="shared" si="241"/>
        <v>6046.2048240000004</v>
      </c>
      <c r="BF171" s="1">
        <v>0</v>
      </c>
      <c r="BG171" s="1">
        <v>0</v>
      </c>
      <c r="BH171" s="1">
        <v>0</v>
      </c>
      <c r="BI171" s="2">
        <f t="shared" si="229"/>
        <v>8061.6064319999996</v>
      </c>
      <c r="BJ171" s="2">
        <f t="shared" si="230"/>
        <v>6718.0053600000001</v>
      </c>
      <c r="BK171" s="2">
        <f t="shared" si="231"/>
        <v>6382.1050919999998</v>
      </c>
      <c r="BL171" s="2">
        <f t="shared" si="232"/>
        <v>6718.0053600000001</v>
      </c>
      <c r="BM171" s="13">
        <f>0.8071*9755</f>
        <v>7873.2605000000003</v>
      </c>
      <c r="BN171" s="2">
        <f t="shared" si="233"/>
        <v>6718.0053600000001</v>
      </c>
      <c r="BO171" s="2">
        <f t="shared" si="234"/>
        <v>0</v>
      </c>
      <c r="BP171" s="2">
        <f t="shared" si="235"/>
        <v>15820.994700000001</v>
      </c>
      <c r="BQ171" s="22"/>
    </row>
    <row r="172" spans="1:69" ht="20.100000000000001" customHeight="1" x14ac:dyDescent="0.2">
      <c r="A172" s="17">
        <f t="shared" si="203"/>
        <v>170</v>
      </c>
      <c r="B172" s="24">
        <v>640</v>
      </c>
      <c r="C172" s="18" t="s">
        <v>64</v>
      </c>
      <c r="D172" s="19" t="s">
        <v>267</v>
      </c>
      <c r="E172" s="18" t="s">
        <v>248</v>
      </c>
      <c r="F172" s="8">
        <v>19877.833333333332</v>
      </c>
      <c r="G172" s="18" t="s">
        <v>64</v>
      </c>
      <c r="H172" s="12">
        <v>0</v>
      </c>
      <c r="I172" s="24">
        <v>3</v>
      </c>
      <c r="J172" s="2">
        <f t="shared" si="206"/>
        <v>12936.879384</v>
      </c>
      <c r="K172" s="21" t="s">
        <v>249</v>
      </c>
      <c r="L172" s="1">
        <v>9951.4456799999989</v>
      </c>
      <c r="M172" s="1">
        <v>8614.3641340000013</v>
      </c>
      <c r="N172" s="1">
        <f>1.2142*10804.5</f>
        <v>13118.823899999999</v>
      </c>
      <c r="O172" s="2">
        <f t="shared" si="207"/>
        <v>9951.4456799999989</v>
      </c>
      <c r="P172" s="2">
        <f t="shared" si="245"/>
        <v>12439.307099999998</v>
      </c>
      <c r="Q172" s="1">
        <v>0</v>
      </c>
      <c r="R172" s="1">
        <v>0</v>
      </c>
      <c r="S172" s="2">
        <f t="shared" si="208"/>
        <v>9951.4456799999989</v>
      </c>
      <c r="T172" s="1">
        <f t="shared" si="246"/>
        <v>12573</v>
      </c>
      <c r="U172" s="1"/>
      <c r="V172" s="13">
        <f>1.2653*10568</f>
        <v>13371.690400000001</v>
      </c>
      <c r="W172" s="2">
        <f t="shared" si="210"/>
        <v>9951.4456799999989</v>
      </c>
      <c r="X172" s="1">
        <f t="shared" si="242"/>
        <v>9951.4456799999989</v>
      </c>
      <c r="Y172" s="2">
        <f t="shared" si="211"/>
        <v>9951.4456799999989</v>
      </c>
      <c r="Z172" s="1">
        <f t="shared" si="243"/>
        <v>6606</v>
      </c>
      <c r="AA172" s="1">
        <f t="shared" si="212"/>
        <v>9453.873395999999</v>
      </c>
      <c r="AB172" s="1">
        <f t="shared" si="213"/>
        <v>8956.3011119999992</v>
      </c>
      <c r="AC172" s="1">
        <v>0</v>
      </c>
      <c r="AD172" s="1">
        <v>0</v>
      </c>
      <c r="AE172" s="2">
        <f t="shared" si="214"/>
        <v>9951.4456799999989</v>
      </c>
      <c r="AF172" s="2">
        <f t="shared" si="215"/>
        <v>9951.4456799999989</v>
      </c>
      <c r="AG172" s="1">
        <v>0</v>
      </c>
      <c r="AH172" s="1">
        <f t="shared" si="244"/>
        <v>13914.483333333332</v>
      </c>
      <c r="AI172" s="1">
        <f t="shared" si="237"/>
        <v>10946.590248</v>
      </c>
      <c r="AJ172" s="2">
        <f t="shared" si="238"/>
        <v>9951.4456799999989</v>
      </c>
      <c r="AK172" s="1">
        <f t="shared" si="216"/>
        <v>13633.480581599999</v>
      </c>
      <c r="AL172" s="2">
        <f t="shared" si="217"/>
        <v>9951.4456799999989</v>
      </c>
      <c r="AM172" s="2">
        <f t="shared" si="218"/>
        <v>9951.4456799999989</v>
      </c>
      <c r="AN172" s="2">
        <f t="shared" si="219"/>
        <v>10946.590248</v>
      </c>
      <c r="AO172" s="2">
        <f t="shared" si="220"/>
        <v>9951.4456799999989</v>
      </c>
      <c r="AP172" s="2">
        <f t="shared" si="221"/>
        <v>8614.3641340000013</v>
      </c>
      <c r="AQ172" s="2">
        <f t="shared" si="222"/>
        <v>9951.4456799999989</v>
      </c>
      <c r="AR172" s="1">
        <f t="shared" si="223"/>
        <v>9938.9166666666661</v>
      </c>
      <c r="AS172" s="1">
        <f t="shared" si="224"/>
        <v>8614.3641340000013</v>
      </c>
      <c r="AT172" s="2">
        <f t="shared" si="225"/>
        <v>9951.4456799999989</v>
      </c>
      <c r="AU172" s="1">
        <v>8887.3561125000015</v>
      </c>
      <c r="AV172" s="2">
        <f t="shared" si="226"/>
        <v>9475.800547400002</v>
      </c>
      <c r="AW172" s="2">
        <f t="shared" si="227"/>
        <v>9951.4456799999989</v>
      </c>
      <c r="AX172" s="1">
        <f t="shared" si="228"/>
        <v>9453.873395999999</v>
      </c>
      <c r="AY172" s="2" t="str">
        <f t="shared" si="205"/>
        <v>8757.27 IPPS</v>
      </c>
      <c r="AZ172" s="1">
        <v>0</v>
      </c>
      <c r="BA172" s="1">
        <v>0</v>
      </c>
      <c r="BB172" s="1">
        <v>0</v>
      </c>
      <c r="BC172" s="1">
        <f t="shared" si="239"/>
        <v>9951.4456799999989</v>
      </c>
      <c r="BD172" s="1">
        <f t="shared" si="240"/>
        <v>10946.590248</v>
      </c>
      <c r="BE172" s="1">
        <f t="shared" si="241"/>
        <v>8956.3011119999992</v>
      </c>
      <c r="BF172" s="1">
        <v>0</v>
      </c>
      <c r="BG172" s="1">
        <v>0</v>
      </c>
      <c r="BH172" s="1">
        <v>0</v>
      </c>
      <c r="BI172" s="2">
        <f t="shared" si="229"/>
        <v>11941.734815999998</v>
      </c>
      <c r="BJ172" s="2">
        <f t="shared" si="230"/>
        <v>9951.4456799999989</v>
      </c>
      <c r="BK172" s="2">
        <f t="shared" si="231"/>
        <v>9453.873395999999</v>
      </c>
      <c r="BL172" s="2">
        <f t="shared" si="232"/>
        <v>9951.4456799999989</v>
      </c>
      <c r="BM172" s="13">
        <f>1.2653*9755</f>
        <v>12343.0015</v>
      </c>
      <c r="BN172" s="2">
        <f t="shared" si="233"/>
        <v>9951.4456799999989</v>
      </c>
      <c r="BO172" s="2">
        <f t="shared" si="234"/>
        <v>0</v>
      </c>
      <c r="BP172" s="2">
        <f t="shared" si="235"/>
        <v>13914.483333333332</v>
      </c>
      <c r="BQ172" s="22"/>
    </row>
    <row r="173" spans="1:69" ht="20.100000000000001" customHeight="1" x14ac:dyDescent="0.2">
      <c r="A173" s="17">
        <f t="shared" si="203"/>
        <v>171</v>
      </c>
      <c r="B173" s="24">
        <v>690</v>
      </c>
      <c r="C173" s="18" t="s">
        <v>64</v>
      </c>
      <c r="D173" s="19" t="s">
        <v>268</v>
      </c>
      <c r="E173" s="18" t="s">
        <v>248</v>
      </c>
      <c r="F173" s="8">
        <v>12074.400000000001</v>
      </c>
      <c r="G173" s="18" t="s">
        <v>64</v>
      </c>
      <c r="H173" s="12">
        <v>0</v>
      </c>
      <c r="I173" s="24">
        <v>3</v>
      </c>
      <c r="J173" s="2">
        <f t="shared" si="206"/>
        <v>8427.2323199999992</v>
      </c>
      <c r="K173" s="21" t="s">
        <v>249</v>
      </c>
      <c r="L173" s="1">
        <v>6482.4863999999998</v>
      </c>
      <c r="M173" s="1">
        <v>8781.8315590000002</v>
      </c>
      <c r="N173" s="1">
        <f>0.7908*10804.5</f>
        <v>8544.1985999999997</v>
      </c>
      <c r="O173" s="2">
        <f t="shared" si="207"/>
        <v>6482.4863999999998</v>
      </c>
      <c r="P173" s="2">
        <f t="shared" si="245"/>
        <v>8103.1080000000002</v>
      </c>
      <c r="Q173" s="1">
        <v>0</v>
      </c>
      <c r="R173" s="1">
        <v>0</v>
      </c>
      <c r="S173" s="2">
        <f t="shared" si="208"/>
        <v>6482.4863999999998</v>
      </c>
      <c r="T173" s="1">
        <f t="shared" si="246"/>
        <v>12573</v>
      </c>
      <c r="U173" s="1"/>
      <c r="V173" s="13">
        <f>0.7956*10568</f>
        <v>8407.9007999999994</v>
      </c>
      <c r="W173" s="2">
        <f t="shared" si="210"/>
        <v>6482.4863999999998</v>
      </c>
      <c r="X173" s="1">
        <f t="shared" si="242"/>
        <v>6482.4863999999998</v>
      </c>
      <c r="Y173" s="2">
        <f t="shared" si="211"/>
        <v>6482.4863999999998</v>
      </c>
      <c r="Z173" s="1">
        <f t="shared" si="243"/>
        <v>6606</v>
      </c>
      <c r="AA173" s="1">
        <f t="shared" si="212"/>
        <v>6158.3620799999999</v>
      </c>
      <c r="AB173" s="1">
        <f t="shared" si="213"/>
        <v>5834.23776</v>
      </c>
      <c r="AC173" s="1">
        <v>0</v>
      </c>
      <c r="AD173" s="1">
        <v>0</v>
      </c>
      <c r="AE173" s="2">
        <f t="shared" si="214"/>
        <v>6482.4863999999998</v>
      </c>
      <c r="AF173" s="2">
        <f t="shared" si="215"/>
        <v>6482.4863999999998</v>
      </c>
      <c r="AG173" s="1">
        <v>0</v>
      </c>
      <c r="AH173" s="1">
        <f t="shared" si="244"/>
        <v>8452.08</v>
      </c>
      <c r="AI173" s="1">
        <f t="shared" si="237"/>
        <v>7130.7350400000005</v>
      </c>
      <c r="AJ173" s="2">
        <f t="shared" si="238"/>
        <v>6482.4863999999998</v>
      </c>
      <c r="AK173" s="1">
        <f t="shared" si="216"/>
        <v>8881.0063680000003</v>
      </c>
      <c r="AL173" s="2">
        <f t="shared" si="217"/>
        <v>6482.4863999999998</v>
      </c>
      <c r="AM173" s="2">
        <f t="shared" si="218"/>
        <v>6482.4863999999998</v>
      </c>
      <c r="AN173" s="2">
        <f t="shared" si="219"/>
        <v>7130.7350400000005</v>
      </c>
      <c r="AO173" s="2">
        <f t="shared" si="220"/>
        <v>6482.4863999999998</v>
      </c>
      <c r="AP173" s="2">
        <f t="shared" si="221"/>
        <v>8781.8315590000002</v>
      </c>
      <c r="AQ173" s="2">
        <f t="shared" si="222"/>
        <v>6482.4863999999998</v>
      </c>
      <c r="AR173" s="1">
        <f t="shared" si="223"/>
        <v>6037.2000000000007</v>
      </c>
      <c r="AS173" s="1">
        <f t="shared" si="224"/>
        <v>8781.8315590000002</v>
      </c>
      <c r="AT173" s="2">
        <f t="shared" si="225"/>
        <v>6482.4863999999998</v>
      </c>
      <c r="AU173" s="1">
        <v>8887.3561125000015</v>
      </c>
      <c r="AV173" s="2">
        <f t="shared" si="226"/>
        <v>9660.0147149000004</v>
      </c>
      <c r="AW173" s="2">
        <f t="shared" si="227"/>
        <v>6482.4863999999998</v>
      </c>
      <c r="AX173" s="1">
        <f t="shared" si="228"/>
        <v>6158.3620799999999</v>
      </c>
      <c r="AY173" s="2" t="str">
        <f t="shared" si="205"/>
        <v>5704.59 IPPS</v>
      </c>
      <c r="AZ173" s="1">
        <v>0</v>
      </c>
      <c r="BA173" s="1">
        <v>0</v>
      </c>
      <c r="BB173" s="1">
        <v>0</v>
      </c>
      <c r="BC173" s="1">
        <f t="shared" si="239"/>
        <v>6482.4863999999998</v>
      </c>
      <c r="BD173" s="1">
        <f t="shared" si="240"/>
        <v>7130.7350400000005</v>
      </c>
      <c r="BE173" s="1">
        <f t="shared" si="241"/>
        <v>5834.23776</v>
      </c>
      <c r="BF173" s="1">
        <v>0</v>
      </c>
      <c r="BG173" s="1">
        <v>0</v>
      </c>
      <c r="BH173" s="1">
        <v>0</v>
      </c>
      <c r="BI173" s="2">
        <f t="shared" si="229"/>
        <v>7778.9836799999994</v>
      </c>
      <c r="BJ173" s="2">
        <f t="shared" si="230"/>
        <v>6482.4863999999998</v>
      </c>
      <c r="BK173" s="2">
        <f t="shared" si="231"/>
        <v>6158.3620799999999</v>
      </c>
      <c r="BL173" s="2">
        <f t="shared" si="232"/>
        <v>6482.4863999999998</v>
      </c>
      <c r="BM173" s="13">
        <f>0.7956*9755</f>
        <v>7761.0779999999995</v>
      </c>
      <c r="BN173" s="2">
        <f t="shared" si="233"/>
        <v>6482.4863999999998</v>
      </c>
      <c r="BO173" s="2">
        <f t="shared" si="234"/>
        <v>0</v>
      </c>
      <c r="BP173" s="2">
        <f t="shared" si="235"/>
        <v>12573</v>
      </c>
      <c r="BQ173" s="22"/>
    </row>
    <row r="174" spans="1:69" ht="20.100000000000001" customHeight="1" x14ac:dyDescent="0.2">
      <c r="A174" s="17">
        <f t="shared" si="203"/>
        <v>172</v>
      </c>
      <c r="B174" s="24">
        <v>378</v>
      </c>
      <c r="C174" s="18" t="s">
        <v>64</v>
      </c>
      <c r="D174" s="19" t="s">
        <v>269</v>
      </c>
      <c r="E174" s="18" t="s">
        <v>248</v>
      </c>
      <c r="F174" s="8">
        <v>31769.745000000003</v>
      </c>
      <c r="G174" s="18" t="s">
        <v>64</v>
      </c>
      <c r="H174" s="12">
        <v>0</v>
      </c>
      <c r="I174" s="24">
        <v>3</v>
      </c>
      <c r="J174" s="2">
        <f t="shared" si="206"/>
        <v>10508.139512000002</v>
      </c>
      <c r="K174" s="21" t="s">
        <v>249</v>
      </c>
      <c r="L174" s="1">
        <v>8083.1842400000005</v>
      </c>
      <c r="M174" s="1">
        <v>4091.3919040000001</v>
      </c>
      <c r="N174" s="1">
        <f>0.9881*10804.5</f>
        <v>10675.926449999999</v>
      </c>
      <c r="O174" s="2">
        <f t="shared" si="207"/>
        <v>8083.1842400000005</v>
      </c>
      <c r="P174" s="2">
        <f t="shared" si="245"/>
        <v>10103.980300000001</v>
      </c>
      <c r="Q174" s="1">
        <v>0</v>
      </c>
      <c r="R174" s="1">
        <v>0</v>
      </c>
      <c r="S174" s="2">
        <f t="shared" si="208"/>
        <v>8083.1842400000005</v>
      </c>
      <c r="T174" s="1">
        <f t="shared" si="246"/>
        <v>12573</v>
      </c>
      <c r="U174" s="1"/>
      <c r="V174" s="13">
        <f>0.985*10568</f>
        <v>10409.48</v>
      </c>
      <c r="W174" s="2">
        <f t="shared" si="210"/>
        <v>8083.1842400000005</v>
      </c>
      <c r="X174" s="1">
        <f t="shared" si="242"/>
        <v>8083.1842400000005</v>
      </c>
      <c r="Y174" s="2">
        <f t="shared" si="211"/>
        <v>8083.1842400000005</v>
      </c>
      <c r="Z174" s="1">
        <f t="shared" si="243"/>
        <v>6606</v>
      </c>
      <c r="AA174" s="1">
        <f t="shared" si="212"/>
        <v>7679.025028</v>
      </c>
      <c r="AB174" s="1">
        <f t="shared" si="213"/>
        <v>7274.8658160000005</v>
      </c>
      <c r="AC174" s="1">
        <v>0</v>
      </c>
      <c r="AD174" s="1">
        <v>0</v>
      </c>
      <c r="AE174" s="2">
        <f t="shared" si="214"/>
        <v>8083.1842400000005</v>
      </c>
      <c r="AF174" s="2">
        <f t="shared" si="215"/>
        <v>8083.1842400000005</v>
      </c>
      <c r="AG174" s="1">
        <v>0</v>
      </c>
      <c r="AH174" s="1">
        <f t="shared" si="244"/>
        <v>22238.821500000002</v>
      </c>
      <c r="AI174" s="1">
        <f t="shared" si="237"/>
        <v>8891.5026640000015</v>
      </c>
      <c r="AJ174" s="2">
        <f t="shared" si="238"/>
        <v>8083.1842400000005</v>
      </c>
      <c r="AK174" s="1">
        <f t="shared" si="216"/>
        <v>11073.962408800002</v>
      </c>
      <c r="AL174" s="2">
        <f t="shared" si="217"/>
        <v>8083.1842400000005</v>
      </c>
      <c r="AM174" s="2">
        <f t="shared" si="218"/>
        <v>8083.1842400000005</v>
      </c>
      <c r="AN174" s="2">
        <f t="shared" si="219"/>
        <v>8891.5026640000015</v>
      </c>
      <c r="AO174" s="2">
        <f t="shared" si="220"/>
        <v>8083.1842400000005</v>
      </c>
      <c r="AP174" s="2">
        <f t="shared" si="221"/>
        <v>4091.3919040000001</v>
      </c>
      <c r="AQ174" s="2">
        <f t="shared" si="222"/>
        <v>8083.1842400000005</v>
      </c>
      <c r="AR174" s="1">
        <f t="shared" si="223"/>
        <v>15884.872500000001</v>
      </c>
      <c r="AS174" s="1">
        <f t="shared" si="224"/>
        <v>4091.3919040000001</v>
      </c>
      <c r="AT174" s="2">
        <f t="shared" si="225"/>
        <v>8083.1842400000005</v>
      </c>
      <c r="AU174" s="1">
        <v>8887.3561125000015</v>
      </c>
      <c r="AV174" s="2">
        <f t="shared" si="226"/>
        <v>4500.5310944000003</v>
      </c>
      <c r="AW174" s="2">
        <f t="shared" si="227"/>
        <v>8083.1842400000005</v>
      </c>
      <c r="AX174" s="1">
        <f t="shared" si="228"/>
        <v>7679.025028</v>
      </c>
      <c r="AY174" s="2" t="str">
        <f t="shared" si="205"/>
        <v>7113.2 IPPS</v>
      </c>
      <c r="AZ174" s="1">
        <v>0</v>
      </c>
      <c r="BA174" s="1">
        <v>0</v>
      </c>
      <c r="BB174" s="1">
        <v>0</v>
      </c>
      <c r="BC174" s="1">
        <f t="shared" si="239"/>
        <v>8083.1842400000005</v>
      </c>
      <c r="BD174" s="1">
        <f t="shared" si="240"/>
        <v>8891.5026640000015</v>
      </c>
      <c r="BE174" s="1">
        <f t="shared" si="241"/>
        <v>7274.8658160000005</v>
      </c>
      <c r="BF174" s="1">
        <v>0</v>
      </c>
      <c r="BG174" s="1">
        <v>0</v>
      </c>
      <c r="BH174" s="1">
        <v>0</v>
      </c>
      <c r="BI174" s="2">
        <f t="shared" si="229"/>
        <v>9699.8210880000006</v>
      </c>
      <c r="BJ174" s="2">
        <f t="shared" si="230"/>
        <v>8083.1842400000005</v>
      </c>
      <c r="BK174" s="2">
        <f t="shared" si="231"/>
        <v>7679.025028</v>
      </c>
      <c r="BL174" s="2">
        <f t="shared" si="232"/>
        <v>8083.1842400000005</v>
      </c>
      <c r="BM174" s="13">
        <f>0.985*9755</f>
        <v>9608.6749999999993</v>
      </c>
      <c r="BN174" s="2">
        <f t="shared" si="233"/>
        <v>8083.1842400000005</v>
      </c>
      <c r="BO174" s="2">
        <f t="shared" si="234"/>
        <v>0</v>
      </c>
      <c r="BP174" s="2">
        <f t="shared" si="235"/>
        <v>22238.821500000002</v>
      </c>
      <c r="BQ174" s="22"/>
    </row>
    <row r="175" spans="1:69" ht="20.100000000000001" customHeight="1" x14ac:dyDescent="0.2">
      <c r="A175" s="17">
        <f t="shared" si="203"/>
        <v>173</v>
      </c>
      <c r="B175" s="24">
        <v>70</v>
      </c>
      <c r="C175" s="18" t="s">
        <v>64</v>
      </c>
      <c r="D175" s="19" t="s">
        <v>270</v>
      </c>
      <c r="E175" s="18" t="s">
        <v>248</v>
      </c>
      <c r="F175" s="8">
        <v>37050.506250000006</v>
      </c>
      <c r="G175" s="18" t="s">
        <v>64</v>
      </c>
      <c r="H175" s="12">
        <v>0</v>
      </c>
      <c r="I175" s="24">
        <v>5</v>
      </c>
      <c r="J175" s="2">
        <f t="shared" si="206"/>
        <v>17581.063136000001</v>
      </c>
      <c r="K175" s="21" t="s">
        <v>249</v>
      </c>
      <c r="L175" s="1">
        <v>13523.89472</v>
      </c>
      <c r="M175" s="1">
        <v>5695.9751540000007</v>
      </c>
      <c r="N175" s="1">
        <f>1.6729*10804.5</f>
        <v>18074.848050000001</v>
      </c>
      <c r="O175" s="2">
        <f t="shared" si="207"/>
        <v>13523.89472</v>
      </c>
      <c r="P175" s="2">
        <f t="shared" si="245"/>
        <v>16904.868399999999</v>
      </c>
      <c r="Q175" s="1">
        <v>0</v>
      </c>
      <c r="R175" s="1">
        <v>0</v>
      </c>
      <c r="S175" s="2">
        <f t="shared" si="208"/>
        <v>13523.89472</v>
      </c>
      <c r="T175" s="1">
        <f t="shared" si="246"/>
        <v>20955</v>
      </c>
      <c r="U175" s="1"/>
      <c r="V175" s="13">
        <f>1.7242*10568</f>
        <v>18221.345600000001</v>
      </c>
      <c r="W175" s="2">
        <f t="shared" si="210"/>
        <v>13523.89472</v>
      </c>
      <c r="X175" s="1">
        <f t="shared" si="242"/>
        <v>13523.89472</v>
      </c>
      <c r="Y175" s="2">
        <f t="shared" si="211"/>
        <v>13523.89472</v>
      </c>
      <c r="Z175" s="1">
        <f t="shared" si="243"/>
        <v>11010</v>
      </c>
      <c r="AA175" s="1">
        <f t="shared" si="212"/>
        <v>12847.699983999999</v>
      </c>
      <c r="AB175" s="1">
        <f t="shared" si="213"/>
        <v>12171.505248000001</v>
      </c>
      <c r="AC175" s="1">
        <v>0</v>
      </c>
      <c r="AD175" s="1">
        <v>0</v>
      </c>
      <c r="AE175" s="2">
        <f t="shared" si="214"/>
        <v>13523.89472</v>
      </c>
      <c r="AF175" s="2">
        <f t="shared" si="215"/>
        <v>13523.89472</v>
      </c>
      <c r="AG175" s="1">
        <v>0</v>
      </c>
      <c r="AH175" s="1">
        <f t="shared" si="244"/>
        <v>25935.354375000003</v>
      </c>
      <c r="AI175" s="1">
        <f t="shared" si="237"/>
        <v>14876.284192000001</v>
      </c>
      <c r="AJ175" s="2">
        <f t="shared" si="238"/>
        <v>13523.89472</v>
      </c>
      <c r="AK175" s="1">
        <f t="shared" si="216"/>
        <v>18527.735766400001</v>
      </c>
      <c r="AL175" s="2">
        <f t="shared" si="217"/>
        <v>13523.89472</v>
      </c>
      <c r="AM175" s="2">
        <f t="shared" si="218"/>
        <v>13523.89472</v>
      </c>
      <c r="AN175" s="2">
        <f t="shared" si="219"/>
        <v>14876.284192000001</v>
      </c>
      <c r="AO175" s="2">
        <f t="shared" si="220"/>
        <v>13523.89472</v>
      </c>
      <c r="AP175" s="2">
        <f t="shared" si="221"/>
        <v>5695.9751540000007</v>
      </c>
      <c r="AQ175" s="2">
        <f t="shared" si="222"/>
        <v>13523.89472</v>
      </c>
      <c r="AR175" s="1">
        <f t="shared" si="223"/>
        <v>18525.253125000003</v>
      </c>
      <c r="AS175" s="1">
        <f t="shared" si="224"/>
        <v>5695.9751540000007</v>
      </c>
      <c r="AT175" s="2">
        <f t="shared" si="225"/>
        <v>13523.89472</v>
      </c>
      <c r="AU175" s="1">
        <v>14812.260187500002</v>
      </c>
      <c r="AV175" s="2">
        <f t="shared" si="226"/>
        <v>6265.5726694000014</v>
      </c>
      <c r="AW175" s="2">
        <f t="shared" si="227"/>
        <v>13523.89472</v>
      </c>
      <c r="AX175" s="1">
        <f t="shared" si="228"/>
        <v>12847.699983999999</v>
      </c>
      <c r="AY175" s="2" t="str">
        <f t="shared" si="205"/>
        <v>11901.03 IPPS</v>
      </c>
      <c r="AZ175" s="1">
        <v>0</v>
      </c>
      <c r="BA175" s="1">
        <v>0</v>
      </c>
      <c r="BB175" s="1">
        <v>0</v>
      </c>
      <c r="BC175" s="1">
        <f t="shared" si="239"/>
        <v>13523.89472</v>
      </c>
      <c r="BD175" s="1">
        <f t="shared" si="240"/>
        <v>14876.284192000001</v>
      </c>
      <c r="BE175" s="1">
        <f t="shared" si="241"/>
        <v>12171.505248000001</v>
      </c>
      <c r="BF175" s="1">
        <v>0</v>
      </c>
      <c r="BG175" s="1">
        <v>0</v>
      </c>
      <c r="BH175" s="1">
        <v>0</v>
      </c>
      <c r="BI175" s="2">
        <f t="shared" si="229"/>
        <v>16228.673664</v>
      </c>
      <c r="BJ175" s="2">
        <f t="shared" si="230"/>
        <v>13523.89472</v>
      </c>
      <c r="BK175" s="2">
        <f t="shared" si="231"/>
        <v>12847.699983999999</v>
      </c>
      <c r="BL175" s="2">
        <f t="shared" si="232"/>
        <v>13523.89472</v>
      </c>
      <c r="BM175" s="13">
        <f>1.7242*9755</f>
        <v>16819.571</v>
      </c>
      <c r="BN175" s="2">
        <f t="shared" si="233"/>
        <v>13523.89472</v>
      </c>
      <c r="BO175" s="2">
        <f t="shared" si="234"/>
        <v>0</v>
      </c>
      <c r="BP175" s="2">
        <f t="shared" si="235"/>
        <v>25935.354375000003</v>
      </c>
      <c r="BQ175" s="22"/>
    </row>
    <row r="176" spans="1:69" ht="20.100000000000001" customHeight="1" x14ac:dyDescent="0.2">
      <c r="A176" s="17">
        <f t="shared" si="203"/>
        <v>174</v>
      </c>
      <c r="B176" s="24">
        <v>438</v>
      </c>
      <c r="C176" s="18" t="s">
        <v>64</v>
      </c>
      <c r="D176" s="19" t="s">
        <v>271</v>
      </c>
      <c r="E176" s="18" t="s">
        <v>248</v>
      </c>
      <c r="F176" s="8">
        <v>33264.556250000001</v>
      </c>
      <c r="G176" s="18" t="s">
        <v>64</v>
      </c>
      <c r="H176" s="12">
        <v>0</v>
      </c>
      <c r="I176" s="24">
        <v>5</v>
      </c>
      <c r="J176" s="2">
        <f t="shared" si="206"/>
        <v>16751.825272000002</v>
      </c>
      <c r="K176" s="21" t="s">
        <v>249</v>
      </c>
      <c r="L176" s="1">
        <v>12886.01944</v>
      </c>
      <c r="M176" s="1">
        <v>4121.831424</v>
      </c>
      <c r="N176" s="1">
        <f>1.6383*10804.5</f>
        <v>17701.012350000001</v>
      </c>
      <c r="O176" s="2">
        <f t="shared" si="207"/>
        <v>12886.01944</v>
      </c>
      <c r="P176" s="2">
        <f t="shared" si="245"/>
        <v>16107.524300000001</v>
      </c>
      <c r="Q176" s="1">
        <v>0</v>
      </c>
      <c r="R176" s="1">
        <v>0</v>
      </c>
      <c r="S176" s="2">
        <f t="shared" si="208"/>
        <v>12886.01944</v>
      </c>
      <c r="T176" s="1">
        <f t="shared" si="246"/>
        <v>20955</v>
      </c>
      <c r="U176" s="1"/>
      <c r="V176" s="13">
        <f>1.6574*10568</f>
        <v>17515.403200000001</v>
      </c>
      <c r="W176" s="2">
        <f t="shared" si="210"/>
        <v>12886.01944</v>
      </c>
      <c r="X176" s="1">
        <f t="shared" si="242"/>
        <v>12886.01944</v>
      </c>
      <c r="Y176" s="2">
        <f t="shared" si="211"/>
        <v>12886.01944</v>
      </c>
      <c r="Z176" s="1">
        <f t="shared" si="243"/>
        <v>11010</v>
      </c>
      <c r="AA176" s="1">
        <f t="shared" si="212"/>
        <v>12241.718467999999</v>
      </c>
      <c r="AB176" s="1">
        <f t="shared" si="213"/>
        <v>11597.417496</v>
      </c>
      <c r="AC176" s="1">
        <v>0</v>
      </c>
      <c r="AD176" s="1">
        <v>0</v>
      </c>
      <c r="AE176" s="2">
        <f t="shared" si="214"/>
        <v>12886.01944</v>
      </c>
      <c r="AF176" s="2">
        <f t="shared" si="215"/>
        <v>12886.01944</v>
      </c>
      <c r="AG176" s="1">
        <v>0</v>
      </c>
      <c r="AH176" s="1">
        <f t="shared" si="244"/>
        <v>23285.189374999998</v>
      </c>
      <c r="AI176" s="1">
        <f t="shared" si="237"/>
        <v>14174.621384000002</v>
      </c>
      <c r="AJ176" s="2">
        <f t="shared" si="238"/>
        <v>12886.01944</v>
      </c>
      <c r="AK176" s="1">
        <f t="shared" si="216"/>
        <v>17653.846632800003</v>
      </c>
      <c r="AL176" s="2">
        <f t="shared" si="217"/>
        <v>12886.01944</v>
      </c>
      <c r="AM176" s="2">
        <f t="shared" si="218"/>
        <v>12886.01944</v>
      </c>
      <c r="AN176" s="2">
        <f t="shared" si="219"/>
        <v>14174.621384000002</v>
      </c>
      <c r="AO176" s="2">
        <f t="shared" si="220"/>
        <v>12886.01944</v>
      </c>
      <c r="AP176" s="2">
        <f t="shared" si="221"/>
        <v>4121.831424</v>
      </c>
      <c r="AQ176" s="2">
        <f t="shared" si="222"/>
        <v>12886.01944</v>
      </c>
      <c r="AR176" s="1">
        <f t="shared" si="223"/>
        <v>16632.278125000001</v>
      </c>
      <c r="AS176" s="1">
        <f t="shared" si="224"/>
        <v>4121.831424</v>
      </c>
      <c r="AT176" s="2">
        <f t="shared" si="225"/>
        <v>12886.01944</v>
      </c>
      <c r="AU176" s="1">
        <v>14812.260187500002</v>
      </c>
      <c r="AV176" s="2">
        <f t="shared" si="226"/>
        <v>4534.0145664000001</v>
      </c>
      <c r="AW176" s="2">
        <f t="shared" si="227"/>
        <v>12886.01944</v>
      </c>
      <c r="AX176" s="1">
        <f t="shared" si="228"/>
        <v>12241.718467999999</v>
      </c>
      <c r="AY176" s="2" t="str">
        <f t="shared" si="205"/>
        <v>11339.7 IPPS</v>
      </c>
      <c r="AZ176" s="1">
        <v>0</v>
      </c>
      <c r="BA176" s="1">
        <v>0</v>
      </c>
      <c r="BB176" s="1">
        <v>0</v>
      </c>
      <c r="BC176" s="1">
        <f t="shared" si="239"/>
        <v>12886.01944</v>
      </c>
      <c r="BD176" s="1">
        <f t="shared" si="240"/>
        <v>14174.621384000002</v>
      </c>
      <c r="BE176" s="1">
        <f t="shared" si="241"/>
        <v>11597.417496</v>
      </c>
      <c r="BF176" s="1">
        <v>0</v>
      </c>
      <c r="BG176" s="1">
        <v>0</v>
      </c>
      <c r="BH176" s="1">
        <v>0</v>
      </c>
      <c r="BI176" s="2">
        <f t="shared" si="229"/>
        <v>15463.223328</v>
      </c>
      <c r="BJ176" s="2">
        <f t="shared" si="230"/>
        <v>12886.01944</v>
      </c>
      <c r="BK176" s="2">
        <f t="shared" si="231"/>
        <v>12241.718467999999</v>
      </c>
      <c r="BL176" s="2">
        <f t="shared" si="232"/>
        <v>12886.01944</v>
      </c>
      <c r="BM176" s="13">
        <f>1.6574*9755</f>
        <v>16167.937</v>
      </c>
      <c r="BN176" s="2">
        <f t="shared" si="233"/>
        <v>12886.01944</v>
      </c>
      <c r="BO176" s="2">
        <f t="shared" si="234"/>
        <v>0</v>
      </c>
      <c r="BP176" s="2">
        <f t="shared" si="235"/>
        <v>23285.189374999998</v>
      </c>
      <c r="BQ176" s="22"/>
    </row>
    <row r="177" spans="1:69" ht="20.100000000000001" customHeight="1" x14ac:dyDescent="0.2">
      <c r="A177" s="17">
        <f t="shared" si="203"/>
        <v>175</v>
      </c>
      <c r="B177" s="24">
        <v>603</v>
      </c>
      <c r="C177" s="18" t="s">
        <v>64</v>
      </c>
      <c r="D177" s="19" t="s">
        <v>272</v>
      </c>
      <c r="E177" s="18" t="s">
        <v>248</v>
      </c>
      <c r="F177" s="8">
        <v>13987.249999999998</v>
      </c>
      <c r="G177" s="18" t="s">
        <v>64</v>
      </c>
      <c r="H177" s="12">
        <v>0</v>
      </c>
      <c r="I177" s="24">
        <v>3</v>
      </c>
      <c r="J177" s="2">
        <f t="shared" si="206"/>
        <v>8971.7981600000003</v>
      </c>
      <c r="K177" s="21" t="s">
        <v>249</v>
      </c>
      <c r="L177" s="1">
        <v>6901.3832000000002</v>
      </c>
      <c r="M177" s="1">
        <v>3206.8835360000003</v>
      </c>
      <c r="N177" s="1">
        <f>0.8435*10804.5</f>
        <v>9113.5957500000004</v>
      </c>
      <c r="O177" s="2">
        <f t="shared" si="207"/>
        <v>6901.3832000000002</v>
      </c>
      <c r="P177" s="2">
        <f t="shared" si="245"/>
        <v>8626.7289999999994</v>
      </c>
      <c r="Q177" s="1">
        <v>0</v>
      </c>
      <c r="R177" s="1">
        <v>0</v>
      </c>
      <c r="S177" s="2">
        <f t="shared" si="208"/>
        <v>6901.3832000000002</v>
      </c>
      <c r="T177" s="1">
        <f t="shared" si="246"/>
        <v>12573</v>
      </c>
      <c r="U177" s="1"/>
      <c r="V177" s="13">
        <f>0.8818*10568</f>
        <v>9318.8624</v>
      </c>
      <c r="W177" s="2">
        <f t="shared" si="210"/>
        <v>6901.3832000000002</v>
      </c>
      <c r="X177" s="1">
        <f t="shared" si="242"/>
        <v>6901.3832000000002</v>
      </c>
      <c r="Y177" s="2">
        <f t="shared" si="211"/>
        <v>6901.3832000000002</v>
      </c>
      <c r="Z177" s="1">
        <f t="shared" si="243"/>
        <v>6606</v>
      </c>
      <c r="AA177" s="1">
        <f t="shared" si="212"/>
        <v>6556.3140400000002</v>
      </c>
      <c r="AB177" s="1">
        <f t="shared" si="213"/>
        <v>6211.2448800000002</v>
      </c>
      <c r="AC177" s="1">
        <v>0</v>
      </c>
      <c r="AD177" s="1">
        <v>0</v>
      </c>
      <c r="AE177" s="2">
        <f t="shared" si="214"/>
        <v>6901.3832000000002</v>
      </c>
      <c r="AF177" s="2">
        <f t="shared" si="215"/>
        <v>6901.3832000000002</v>
      </c>
      <c r="AG177" s="1">
        <v>0</v>
      </c>
      <c r="AH177" s="1">
        <f t="shared" si="244"/>
        <v>9791.0749999999989</v>
      </c>
      <c r="AI177" s="1">
        <f t="shared" si="237"/>
        <v>7591.5215200000011</v>
      </c>
      <c r="AJ177" s="2">
        <f t="shared" si="238"/>
        <v>6901.3832000000002</v>
      </c>
      <c r="AK177" s="1">
        <f t="shared" si="216"/>
        <v>9454.8949840000005</v>
      </c>
      <c r="AL177" s="2">
        <f t="shared" si="217"/>
        <v>6901.3832000000002</v>
      </c>
      <c r="AM177" s="2">
        <f t="shared" si="218"/>
        <v>6901.3832000000002</v>
      </c>
      <c r="AN177" s="2">
        <f t="shared" si="219"/>
        <v>7591.5215200000011</v>
      </c>
      <c r="AO177" s="2">
        <f t="shared" si="220"/>
        <v>6901.3832000000002</v>
      </c>
      <c r="AP177" s="2">
        <f t="shared" si="221"/>
        <v>3206.8835360000003</v>
      </c>
      <c r="AQ177" s="2">
        <f t="shared" si="222"/>
        <v>6901.3832000000002</v>
      </c>
      <c r="AR177" s="1">
        <f t="shared" si="223"/>
        <v>6993.6249999999991</v>
      </c>
      <c r="AS177" s="1">
        <f t="shared" si="224"/>
        <v>3206.8835360000003</v>
      </c>
      <c r="AT177" s="2">
        <f t="shared" si="225"/>
        <v>6901.3832000000002</v>
      </c>
      <c r="AU177" s="1">
        <v>8887.3561125000015</v>
      </c>
      <c r="AV177" s="2">
        <f t="shared" si="226"/>
        <v>3527.5718896000008</v>
      </c>
      <c r="AW177" s="2">
        <f t="shared" si="227"/>
        <v>6901.3832000000002</v>
      </c>
      <c r="AX177" s="1">
        <f t="shared" si="228"/>
        <v>6556.3140400000002</v>
      </c>
      <c r="AY177" s="2" t="str">
        <f t="shared" si="205"/>
        <v>6073.22 IPPS</v>
      </c>
      <c r="AZ177" s="1">
        <v>0</v>
      </c>
      <c r="BA177" s="1">
        <v>0</v>
      </c>
      <c r="BB177" s="1">
        <v>0</v>
      </c>
      <c r="BC177" s="1">
        <f t="shared" si="239"/>
        <v>6901.3832000000002</v>
      </c>
      <c r="BD177" s="1">
        <f t="shared" si="240"/>
        <v>7591.5215200000011</v>
      </c>
      <c r="BE177" s="1">
        <f t="shared" si="241"/>
        <v>6211.2448800000002</v>
      </c>
      <c r="BF177" s="1">
        <v>0</v>
      </c>
      <c r="BG177" s="1">
        <v>0</v>
      </c>
      <c r="BH177" s="1">
        <v>0</v>
      </c>
      <c r="BI177" s="2">
        <f t="shared" si="229"/>
        <v>8281.6598400000003</v>
      </c>
      <c r="BJ177" s="2">
        <f t="shared" si="230"/>
        <v>6901.3832000000002</v>
      </c>
      <c r="BK177" s="2">
        <f t="shared" si="231"/>
        <v>6556.3140400000002</v>
      </c>
      <c r="BL177" s="2">
        <f t="shared" si="232"/>
        <v>6901.3832000000002</v>
      </c>
      <c r="BM177" s="13">
        <f>0.8818*9755</f>
        <v>8601.9590000000007</v>
      </c>
      <c r="BN177" s="2">
        <f t="shared" si="233"/>
        <v>6901.3832000000002</v>
      </c>
      <c r="BO177" s="2">
        <f t="shared" si="234"/>
        <v>0</v>
      </c>
      <c r="BP177" s="2">
        <f t="shared" si="235"/>
        <v>12573</v>
      </c>
      <c r="BQ177" s="22"/>
    </row>
    <row r="178" spans="1:69" ht="20.100000000000001" customHeight="1" x14ac:dyDescent="0.2">
      <c r="A178" s="17">
        <f t="shared" si="203"/>
        <v>176</v>
      </c>
      <c r="B178" s="24">
        <v>280</v>
      </c>
      <c r="C178" s="18" t="s">
        <v>64</v>
      </c>
      <c r="D178" s="19" t="s">
        <v>273</v>
      </c>
      <c r="E178" s="18" t="s">
        <v>248</v>
      </c>
      <c r="F178" s="8">
        <v>59955.77428571428</v>
      </c>
      <c r="G178" s="18" t="s">
        <v>64</v>
      </c>
      <c r="H178" s="12">
        <v>0</v>
      </c>
      <c r="I178" s="24">
        <v>4</v>
      </c>
      <c r="J178" s="2">
        <f t="shared" si="206"/>
        <v>17061.381168</v>
      </c>
      <c r="K178" s="21" t="s">
        <v>249</v>
      </c>
      <c r="L178" s="1">
        <v>13124.139359999999</v>
      </c>
      <c r="M178" s="1">
        <v>6134.414385</v>
      </c>
      <c r="N178" s="1">
        <f>1.6309*10804.5</f>
        <v>17621.05905</v>
      </c>
      <c r="O178" s="2">
        <f t="shared" si="207"/>
        <v>13124.139359999999</v>
      </c>
      <c r="P178" s="2">
        <f t="shared" si="245"/>
        <v>16405.174199999998</v>
      </c>
      <c r="Q178" s="1">
        <v>0</v>
      </c>
      <c r="R178" s="1">
        <v>0</v>
      </c>
      <c r="S178" s="2">
        <f t="shared" si="208"/>
        <v>13124.139359999999</v>
      </c>
      <c r="T178" s="1">
        <f t="shared" si="246"/>
        <v>16764</v>
      </c>
      <c r="U178" s="1"/>
      <c r="V178" s="13">
        <f>1.6064*10568</f>
        <v>16976.4352</v>
      </c>
      <c r="W178" s="2">
        <f t="shared" si="210"/>
        <v>13124.139359999999</v>
      </c>
      <c r="X178" s="1">
        <f t="shared" si="242"/>
        <v>13124.139359999999</v>
      </c>
      <c r="Y178" s="2">
        <f t="shared" si="211"/>
        <v>13124.139359999999</v>
      </c>
      <c r="Z178" s="1">
        <f t="shared" si="243"/>
        <v>8808</v>
      </c>
      <c r="AA178" s="1">
        <f t="shared" si="212"/>
        <v>12467.932391999999</v>
      </c>
      <c r="AB178" s="1">
        <f t="shared" si="213"/>
        <v>11811.725424</v>
      </c>
      <c r="AC178" s="1">
        <v>0</v>
      </c>
      <c r="AD178" s="1">
        <v>0</v>
      </c>
      <c r="AE178" s="2">
        <f t="shared" si="214"/>
        <v>13124.139359999999</v>
      </c>
      <c r="AF178" s="2">
        <f t="shared" si="215"/>
        <v>13124.139359999999</v>
      </c>
      <c r="AG178" s="1">
        <v>0</v>
      </c>
      <c r="AH178" s="1">
        <f t="shared" si="244"/>
        <v>41969.041999999994</v>
      </c>
      <c r="AI178" s="1">
        <f t="shared" si="237"/>
        <v>14436.553296</v>
      </c>
      <c r="AJ178" s="2">
        <f t="shared" si="238"/>
        <v>13124.139359999999</v>
      </c>
      <c r="AK178" s="1">
        <f t="shared" si="216"/>
        <v>17980.070923200001</v>
      </c>
      <c r="AL178" s="2">
        <f t="shared" si="217"/>
        <v>13124.139359999999</v>
      </c>
      <c r="AM178" s="2">
        <f t="shared" si="218"/>
        <v>13124.139359999999</v>
      </c>
      <c r="AN178" s="2">
        <f t="shared" si="219"/>
        <v>14436.553296</v>
      </c>
      <c r="AO178" s="2">
        <f t="shared" si="220"/>
        <v>13124.139359999999</v>
      </c>
      <c r="AP178" s="2">
        <f t="shared" si="221"/>
        <v>6134.414385</v>
      </c>
      <c r="AQ178" s="2">
        <f t="shared" si="222"/>
        <v>13124.139359999999</v>
      </c>
      <c r="AR178" s="1">
        <f t="shared" si="223"/>
        <v>29977.88714285714</v>
      </c>
      <c r="AS178" s="1">
        <f t="shared" si="224"/>
        <v>6134.414385</v>
      </c>
      <c r="AT178" s="2">
        <f t="shared" si="225"/>
        <v>13124.139359999999</v>
      </c>
      <c r="AU178" s="1">
        <v>11849.808150000003</v>
      </c>
      <c r="AV178" s="2">
        <f t="shared" si="226"/>
        <v>6747.855823500001</v>
      </c>
      <c r="AW178" s="2">
        <f t="shared" si="227"/>
        <v>13124.139359999999</v>
      </c>
      <c r="AX178" s="1">
        <f t="shared" si="228"/>
        <v>12467.932391999999</v>
      </c>
      <c r="AY178" s="2" t="str">
        <f t="shared" si="205"/>
        <v>11549.24 IPPS</v>
      </c>
      <c r="AZ178" s="1">
        <v>0</v>
      </c>
      <c r="BA178" s="1">
        <v>0</v>
      </c>
      <c r="BB178" s="1">
        <v>0</v>
      </c>
      <c r="BC178" s="1">
        <f t="shared" si="239"/>
        <v>13124.139359999999</v>
      </c>
      <c r="BD178" s="1">
        <f t="shared" si="240"/>
        <v>14436.553296</v>
      </c>
      <c r="BE178" s="1">
        <f t="shared" si="241"/>
        <v>11811.725424</v>
      </c>
      <c r="BF178" s="1">
        <v>0</v>
      </c>
      <c r="BG178" s="1">
        <v>0</v>
      </c>
      <c r="BH178" s="1">
        <v>0</v>
      </c>
      <c r="BI178" s="2">
        <f t="shared" si="229"/>
        <v>15748.967231999999</v>
      </c>
      <c r="BJ178" s="2">
        <f t="shared" si="230"/>
        <v>13124.139359999999</v>
      </c>
      <c r="BK178" s="2">
        <f t="shared" si="231"/>
        <v>12467.932391999999</v>
      </c>
      <c r="BL178" s="2">
        <f t="shared" si="232"/>
        <v>13124.139359999999</v>
      </c>
      <c r="BM178" s="13">
        <f>1.6064*9755</f>
        <v>15670.432000000001</v>
      </c>
      <c r="BN178" s="2">
        <f t="shared" si="233"/>
        <v>13124.139359999999</v>
      </c>
      <c r="BO178" s="2">
        <f t="shared" si="234"/>
        <v>0</v>
      </c>
      <c r="BP178" s="2">
        <f t="shared" si="235"/>
        <v>41969.041999999994</v>
      </c>
      <c r="BQ178" s="22"/>
    </row>
    <row r="179" spans="1:69" ht="20.100000000000001" customHeight="1" x14ac:dyDescent="0.2">
      <c r="A179" s="17">
        <f t="shared" si="203"/>
        <v>177</v>
      </c>
      <c r="B179" s="24">
        <v>377</v>
      </c>
      <c r="C179" s="18" t="s">
        <v>64</v>
      </c>
      <c r="D179" s="19" t="s">
        <v>274</v>
      </c>
      <c r="E179" s="18" t="s">
        <v>248</v>
      </c>
      <c r="F179" s="8">
        <v>54109.248333333329</v>
      </c>
      <c r="G179" s="18" t="s">
        <v>64</v>
      </c>
      <c r="H179" s="12">
        <v>0</v>
      </c>
      <c r="I179" s="24">
        <v>4</v>
      </c>
      <c r="J179" s="2">
        <f t="shared" si="206"/>
        <v>18849.268880000003</v>
      </c>
      <c r="K179" s="21" t="s">
        <v>249</v>
      </c>
      <c r="L179" s="1">
        <v>14499.437600000001</v>
      </c>
      <c r="M179" s="1">
        <v>9508.0043580000001</v>
      </c>
      <c r="N179" s="1">
        <f>1.7699*10804.5</f>
        <v>19122.884549999999</v>
      </c>
      <c r="O179" s="2">
        <f t="shared" si="207"/>
        <v>14499.437600000001</v>
      </c>
      <c r="P179" s="2">
        <f t="shared" si="245"/>
        <v>18124.297000000002</v>
      </c>
      <c r="Q179" s="1">
        <v>0</v>
      </c>
      <c r="R179" s="1">
        <v>0</v>
      </c>
      <c r="S179" s="2">
        <f t="shared" si="208"/>
        <v>14499.437600000001</v>
      </c>
      <c r="T179" s="1">
        <f t="shared" si="246"/>
        <v>16764</v>
      </c>
      <c r="U179" s="1"/>
      <c r="V179" s="13">
        <f>1.778*10568</f>
        <v>18789.903999999999</v>
      </c>
      <c r="W179" s="2">
        <f t="shared" si="210"/>
        <v>14499.437600000001</v>
      </c>
      <c r="X179" s="1">
        <f t="shared" si="242"/>
        <v>14499.437600000001</v>
      </c>
      <c r="Y179" s="2">
        <f t="shared" si="211"/>
        <v>14499.437600000001</v>
      </c>
      <c r="Z179" s="1">
        <f t="shared" si="243"/>
        <v>8808</v>
      </c>
      <c r="AA179" s="1">
        <f t="shared" si="212"/>
        <v>13774.46572</v>
      </c>
      <c r="AB179" s="1">
        <f t="shared" si="213"/>
        <v>13049.493840000001</v>
      </c>
      <c r="AC179" s="1">
        <v>0</v>
      </c>
      <c r="AD179" s="1">
        <v>0</v>
      </c>
      <c r="AE179" s="2">
        <f t="shared" si="214"/>
        <v>14499.437600000001</v>
      </c>
      <c r="AF179" s="2">
        <f t="shared" si="215"/>
        <v>14499.437600000001</v>
      </c>
      <c r="AG179" s="1">
        <v>0</v>
      </c>
      <c r="AH179" s="1">
        <f t="shared" si="244"/>
        <v>37876.47383333333</v>
      </c>
      <c r="AI179" s="1">
        <f t="shared" si="237"/>
        <v>15949.381360000003</v>
      </c>
      <c r="AJ179" s="2">
        <f t="shared" si="238"/>
        <v>14499.437600000001</v>
      </c>
      <c r="AK179" s="1">
        <f t="shared" si="216"/>
        <v>19864.229512000002</v>
      </c>
      <c r="AL179" s="2">
        <f t="shared" si="217"/>
        <v>14499.437600000001</v>
      </c>
      <c r="AM179" s="2">
        <f t="shared" si="218"/>
        <v>14499.437600000001</v>
      </c>
      <c r="AN179" s="2">
        <f t="shared" si="219"/>
        <v>15949.381360000003</v>
      </c>
      <c r="AO179" s="2">
        <f t="shared" si="220"/>
        <v>14499.437600000001</v>
      </c>
      <c r="AP179" s="2">
        <f t="shared" si="221"/>
        <v>9508.0043580000001</v>
      </c>
      <c r="AQ179" s="2">
        <f t="shared" si="222"/>
        <v>14499.437600000001</v>
      </c>
      <c r="AR179" s="1">
        <f t="shared" si="223"/>
        <v>27054.624166666665</v>
      </c>
      <c r="AS179" s="1">
        <f t="shared" si="224"/>
        <v>9508.0043580000001</v>
      </c>
      <c r="AT179" s="2">
        <f t="shared" si="225"/>
        <v>14499.437600000001</v>
      </c>
      <c r="AU179" s="1">
        <v>11849.808150000003</v>
      </c>
      <c r="AV179" s="2">
        <f t="shared" si="226"/>
        <v>10458.804793800002</v>
      </c>
      <c r="AW179" s="2">
        <f t="shared" si="227"/>
        <v>14499.437600000001</v>
      </c>
      <c r="AX179" s="1">
        <f t="shared" si="228"/>
        <v>13774.46572</v>
      </c>
      <c r="AY179" s="2" t="str">
        <f t="shared" ref="AY179:AY192" si="247">CONCATENATE(ROUND(L179*0.88,2)," ",K179)</f>
        <v>12759.51 IPPS</v>
      </c>
      <c r="AZ179" s="1">
        <v>0</v>
      </c>
      <c r="BA179" s="1">
        <v>0</v>
      </c>
      <c r="BB179" s="1">
        <v>0</v>
      </c>
      <c r="BC179" s="1">
        <f t="shared" si="239"/>
        <v>14499.437600000001</v>
      </c>
      <c r="BD179" s="1">
        <f t="shared" si="240"/>
        <v>15949.381360000003</v>
      </c>
      <c r="BE179" s="1">
        <f t="shared" si="241"/>
        <v>13049.493840000001</v>
      </c>
      <c r="BF179" s="1">
        <v>0</v>
      </c>
      <c r="BG179" s="1">
        <v>0</v>
      </c>
      <c r="BH179" s="1">
        <v>0</v>
      </c>
      <c r="BI179" s="2">
        <f t="shared" si="229"/>
        <v>17399.325120000001</v>
      </c>
      <c r="BJ179" s="2">
        <f t="shared" si="230"/>
        <v>14499.437600000001</v>
      </c>
      <c r="BK179" s="2">
        <f t="shared" si="231"/>
        <v>13774.46572</v>
      </c>
      <c r="BL179" s="2">
        <f t="shared" si="232"/>
        <v>14499.437600000001</v>
      </c>
      <c r="BM179" s="13">
        <f>1.778*9755</f>
        <v>17344.39</v>
      </c>
      <c r="BN179" s="2">
        <f t="shared" si="233"/>
        <v>14499.437600000001</v>
      </c>
      <c r="BO179" s="2">
        <f t="shared" si="234"/>
        <v>0</v>
      </c>
      <c r="BP179" s="2">
        <f t="shared" si="235"/>
        <v>37876.47383333333</v>
      </c>
      <c r="BQ179" s="22"/>
    </row>
    <row r="180" spans="1:69" ht="20.100000000000001" customHeight="1" x14ac:dyDescent="0.2">
      <c r="A180" s="17">
        <f t="shared" si="203"/>
        <v>178</v>
      </c>
      <c r="B180" s="24">
        <v>100</v>
      </c>
      <c r="C180" s="18" t="s">
        <v>64</v>
      </c>
      <c r="D180" s="19" t="s">
        <v>275</v>
      </c>
      <c r="E180" s="18" t="s">
        <v>248</v>
      </c>
      <c r="F180" s="8">
        <v>31742.291666666668</v>
      </c>
      <c r="G180" s="18" t="s">
        <v>64</v>
      </c>
      <c r="H180" s="12">
        <v>0</v>
      </c>
      <c r="I180" s="24">
        <v>4</v>
      </c>
      <c r="J180" s="2">
        <f t="shared" si="206"/>
        <v>19622.610488000002</v>
      </c>
      <c r="K180" s="21" t="s">
        <v>249</v>
      </c>
      <c r="L180" s="1">
        <v>15094.315760000001</v>
      </c>
      <c r="M180" s="1">
        <v>9508.0043580000001</v>
      </c>
      <c r="N180" s="1">
        <f>1.8202*10804.5</f>
        <v>19666.350900000001</v>
      </c>
      <c r="O180" s="2">
        <f t="shared" si="207"/>
        <v>15094.315760000001</v>
      </c>
      <c r="P180" s="2">
        <f t="shared" si="245"/>
        <v>18867.894700000001</v>
      </c>
      <c r="Q180" s="1">
        <v>0</v>
      </c>
      <c r="R180" s="1">
        <v>0</v>
      </c>
      <c r="S180" s="2">
        <f t="shared" si="208"/>
        <v>15094.315760000001</v>
      </c>
      <c r="T180" s="1">
        <f t="shared" si="246"/>
        <v>16764</v>
      </c>
      <c r="U180" s="1"/>
      <c r="V180" s="13">
        <f>1.921*10568</f>
        <v>20301.128000000001</v>
      </c>
      <c r="W180" s="2">
        <f t="shared" si="210"/>
        <v>15094.315760000001</v>
      </c>
      <c r="X180" s="1">
        <f t="shared" si="242"/>
        <v>15094.315760000001</v>
      </c>
      <c r="Y180" s="2">
        <f t="shared" si="211"/>
        <v>15094.315760000001</v>
      </c>
      <c r="Z180" s="1">
        <f t="shared" si="243"/>
        <v>8808</v>
      </c>
      <c r="AA180" s="1">
        <f t="shared" si="212"/>
        <v>14339.599972</v>
      </c>
      <c r="AB180" s="1">
        <f t="shared" si="213"/>
        <v>13584.884184000002</v>
      </c>
      <c r="AC180" s="1">
        <v>0</v>
      </c>
      <c r="AD180" s="1">
        <v>0</v>
      </c>
      <c r="AE180" s="2">
        <f t="shared" si="214"/>
        <v>15094.315760000001</v>
      </c>
      <c r="AF180" s="2">
        <f t="shared" si="215"/>
        <v>15094.315760000001</v>
      </c>
      <c r="AG180" s="1">
        <v>0</v>
      </c>
      <c r="AH180" s="1">
        <f t="shared" si="244"/>
        <v>22219.604166666668</v>
      </c>
      <c r="AI180" s="1">
        <f t="shared" si="237"/>
        <v>16603.747336000004</v>
      </c>
      <c r="AJ180" s="2">
        <f t="shared" si="238"/>
        <v>15094.315760000001</v>
      </c>
      <c r="AK180" s="1">
        <f t="shared" si="216"/>
        <v>20679.212591200005</v>
      </c>
      <c r="AL180" s="2">
        <f t="shared" si="217"/>
        <v>15094.315760000001</v>
      </c>
      <c r="AM180" s="2">
        <f t="shared" si="218"/>
        <v>15094.315760000001</v>
      </c>
      <c r="AN180" s="2">
        <f t="shared" si="219"/>
        <v>16603.747336000004</v>
      </c>
      <c r="AO180" s="2">
        <f t="shared" si="220"/>
        <v>15094.315760000001</v>
      </c>
      <c r="AP180" s="2">
        <f t="shared" si="221"/>
        <v>9508.0043580000001</v>
      </c>
      <c r="AQ180" s="2">
        <f t="shared" si="222"/>
        <v>15094.315760000001</v>
      </c>
      <c r="AR180" s="1">
        <f t="shared" si="223"/>
        <v>15871.145833333334</v>
      </c>
      <c r="AS180" s="1">
        <f t="shared" si="224"/>
        <v>9508.0043580000001</v>
      </c>
      <c r="AT180" s="2">
        <f t="shared" si="225"/>
        <v>15094.315760000001</v>
      </c>
      <c r="AU180" s="1">
        <v>11849.808150000003</v>
      </c>
      <c r="AV180" s="2">
        <f t="shared" si="226"/>
        <v>10458.804793800002</v>
      </c>
      <c r="AW180" s="2">
        <f t="shared" si="227"/>
        <v>15094.315760000001</v>
      </c>
      <c r="AX180" s="1">
        <f t="shared" si="228"/>
        <v>14339.599972</v>
      </c>
      <c r="AY180" s="2" t="str">
        <f t="shared" si="247"/>
        <v>13283 IPPS</v>
      </c>
      <c r="AZ180" s="1">
        <v>0</v>
      </c>
      <c r="BA180" s="1">
        <v>0</v>
      </c>
      <c r="BB180" s="1">
        <v>0</v>
      </c>
      <c r="BC180" s="1">
        <f t="shared" si="239"/>
        <v>15094.315760000001</v>
      </c>
      <c r="BD180" s="1">
        <f t="shared" si="240"/>
        <v>16603.747336000004</v>
      </c>
      <c r="BE180" s="1">
        <f t="shared" si="241"/>
        <v>13584.884184000002</v>
      </c>
      <c r="BF180" s="1">
        <v>0</v>
      </c>
      <c r="BG180" s="1">
        <v>0</v>
      </c>
      <c r="BH180" s="1">
        <v>0</v>
      </c>
      <c r="BI180" s="2">
        <f t="shared" si="229"/>
        <v>18113.178911999999</v>
      </c>
      <c r="BJ180" s="2">
        <f t="shared" si="230"/>
        <v>15094.315760000001</v>
      </c>
      <c r="BK180" s="2">
        <f t="shared" si="231"/>
        <v>14339.599972</v>
      </c>
      <c r="BL180" s="2">
        <f t="shared" si="232"/>
        <v>15094.315760000001</v>
      </c>
      <c r="BM180" s="13">
        <f>1.921*9755</f>
        <v>18739.355</v>
      </c>
      <c r="BN180" s="2">
        <f t="shared" si="233"/>
        <v>15094.315760000001</v>
      </c>
      <c r="BO180" s="2">
        <f t="shared" si="234"/>
        <v>0</v>
      </c>
      <c r="BP180" s="2">
        <f t="shared" si="235"/>
        <v>22219.604166666668</v>
      </c>
      <c r="BQ180" s="22"/>
    </row>
    <row r="181" spans="1:69" ht="20.100000000000001" customHeight="1" x14ac:dyDescent="0.2">
      <c r="A181" s="17">
        <f t="shared" si="203"/>
        <v>179</v>
      </c>
      <c r="B181" s="24">
        <v>689</v>
      </c>
      <c r="C181" s="18" t="s">
        <v>64</v>
      </c>
      <c r="D181" s="19" t="s">
        <v>276</v>
      </c>
      <c r="E181" s="18" t="s">
        <v>248</v>
      </c>
      <c r="F181" s="8">
        <v>20747.825000000001</v>
      </c>
      <c r="G181" s="18" t="s">
        <v>64</v>
      </c>
      <c r="H181" s="12">
        <v>0</v>
      </c>
      <c r="I181" s="24">
        <v>4</v>
      </c>
      <c r="J181" s="2">
        <f t="shared" si="206"/>
        <v>11730.764448</v>
      </c>
      <c r="K181" s="21" t="s">
        <v>249</v>
      </c>
      <c r="L181" s="1">
        <v>9023.6649600000001</v>
      </c>
      <c r="M181" s="1">
        <v>10272.997558000001</v>
      </c>
      <c r="N181" s="1">
        <f>1.1186*10804.5</f>
        <v>12085.913700000001</v>
      </c>
      <c r="O181" s="2">
        <f t="shared" si="207"/>
        <v>9023.6649600000001</v>
      </c>
      <c r="P181" s="2">
        <f t="shared" si="245"/>
        <v>11279.581200000001</v>
      </c>
      <c r="Q181" s="1">
        <v>0</v>
      </c>
      <c r="R181" s="1">
        <v>0</v>
      </c>
      <c r="S181" s="2">
        <f t="shared" si="208"/>
        <v>9023.6649600000001</v>
      </c>
      <c r="T181" s="1">
        <f t="shared" si="246"/>
        <v>16764</v>
      </c>
      <c r="U181" s="1"/>
      <c r="V181" s="13">
        <f>1.1471*10568</f>
        <v>12122.552799999999</v>
      </c>
      <c r="W181" s="2">
        <f t="shared" si="210"/>
        <v>9023.6649600000001</v>
      </c>
      <c r="X181" s="1">
        <f t="shared" si="242"/>
        <v>9023.6649600000001</v>
      </c>
      <c r="Y181" s="2">
        <f t="shared" si="211"/>
        <v>9023.6649600000001</v>
      </c>
      <c r="Z181" s="1">
        <f t="shared" si="243"/>
        <v>8808</v>
      </c>
      <c r="AA181" s="1">
        <f t="shared" si="212"/>
        <v>8572.4817119999989</v>
      </c>
      <c r="AB181" s="1">
        <f t="shared" si="213"/>
        <v>8121.2984640000004</v>
      </c>
      <c r="AC181" s="1">
        <v>0</v>
      </c>
      <c r="AD181" s="1">
        <v>0</v>
      </c>
      <c r="AE181" s="2">
        <f t="shared" si="214"/>
        <v>9023.6649600000001</v>
      </c>
      <c r="AF181" s="2">
        <f t="shared" si="215"/>
        <v>9023.6649600000001</v>
      </c>
      <c r="AG181" s="1">
        <v>0</v>
      </c>
      <c r="AH181" s="1">
        <f t="shared" si="244"/>
        <v>14523.477499999999</v>
      </c>
      <c r="AI181" s="1">
        <f t="shared" si="237"/>
        <v>9926.0314560000006</v>
      </c>
      <c r="AJ181" s="2">
        <f t="shared" si="238"/>
        <v>9023.6649600000001</v>
      </c>
      <c r="AK181" s="1">
        <f t="shared" si="216"/>
        <v>12362.420995200002</v>
      </c>
      <c r="AL181" s="2">
        <f t="shared" si="217"/>
        <v>9023.6649600000001</v>
      </c>
      <c r="AM181" s="2">
        <f t="shared" si="218"/>
        <v>9023.6649600000001</v>
      </c>
      <c r="AN181" s="2">
        <f t="shared" si="219"/>
        <v>9926.0314560000006</v>
      </c>
      <c r="AO181" s="2">
        <f t="shared" si="220"/>
        <v>9023.6649600000001</v>
      </c>
      <c r="AP181" s="2">
        <f t="shared" si="221"/>
        <v>10272.997558000001</v>
      </c>
      <c r="AQ181" s="2">
        <f t="shared" si="222"/>
        <v>9023.6649600000001</v>
      </c>
      <c r="AR181" s="1">
        <f t="shared" si="223"/>
        <v>10373.9125</v>
      </c>
      <c r="AS181" s="1">
        <f t="shared" si="224"/>
        <v>10272.997558000001</v>
      </c>
      <c r="AT181" s="2">
        <f t="shared" si="225"/>
        <v>9023.6649600000001</v>
      </c>
      <c r="AU181" s="1">
        <v>11849.808150000003</v>
      </c>
      <c r="AV181" s="2">
        <f t="shared" si="226"/>
        <v>11300.297313800002</v>
      </c>
      <c r="AW181" s="2">
        <f t="shared" si="227"/>
        <v>9023.6649600000001</v>
      </c>
      <c r="AX181" s="1">
        <f t="shared" si="228"/>
        <v>8572.4817119999989</v>
      </c>
      <c r="AY181" s="2" t="str">
        <f t="shared" si="247"/>
        <v>7940.83 IPPS</v>
      </c>
      <c r="AZ181" s="1">
        <v>0</v>
      </c>
      <c r="BA181" s="1">
        <v>0</v>
      </c>
      <c r="BB181" s="1">
        <v>0</v>
      </c>
      <c r="BC181" s="1">
        <f t="shared" si="239"/>
        <v>9023.6649600000001</v>
      </c>
      <c r="BD181" s="1">
        <f t="shared" si="240"/>
        <v>9926.0314560000006</v>
      </c>
      <c r="BE181" s="1">
        <f t="shared" si="241"/>
        <v>8121.2984640000004</v>
      </c>
      <c r="BF181" s="1">
        <v>0</v>
      </c>
      <c r="BG181" s="1">
        <v>0</v>
      </c>
      <c r="BH181" s="1">
        <v>0</v>
      </c>
      <c r="BI181" s="2">
        <f t="shared" si="229"/>
        <v>10828.397951999999</v>
      </c>
      <c r="BJ181" s="2">
        <f t="shared" si="230"/>
        <v>9023.6649600000001</v>
      </c>
      <c r="BK181" s="2">
        <f t="shared" si="231"/>
        <v>8572.4817119999989</v>
      </c>
      <c r="BL181" s="2">
        <f t="shared" si="232"/>
        <v>9023.6649600000001</v>
      </c>
      <c r="BM181" s="13">
        <f>1.1471*9755</f>
        <v>11189.960499999999</v>
      </c>
      <c r="BN181" s="2">
        <f t="shared" si="233"/>
        <v>9023.6649600000001</v>
      </c>
      <c r="BO181" s="2">
        <f t="shared" si="234"/>
        <v>0</v>
      </c>
      <c r="BP181" s="2">
        <f t="shared" si="235"/>
        <v>16764</v>
      </c>
      <c r="BQ181" s="22"/>
    </row>
    <row r="182" spans="1:69" ht="20.100000000000001" customHeight="1" x14ac:dyDescent="0.2">
      <c r="A182" s="17">
        <f t="shared" si="203"/>
        <v>180</v>
      </c>
      <c r="B182" s="24">
        <v>194</v>
      </c>
      <c r="C182" s="18" t="s">
        <v>64</v>
      </c>
      <c r="D182" s="19" t="s">
        <v>277</v>
      </c>
      <c r="E182" s="18" t="s">
        <v>248</v>
      </c>
      <c r="F182" s="8">
        <v>19960.375</v>
      </c>
      <c r="G182" s="18" t="s">
        <v>64</v>
      </c>
      <c r="H182" s="12">
        <v>0</v>
      </c>
      <c r="I182" s="24">
        <v>3</v>
      </c>
      <c r="J182" s="2">
        <f t="shared" si="206"/>
        <v>9160.2102800000011</v>
      </c>
      <c r="K182" s="21" t="s">
        <v>249</v>
      </c>
      <c r="L182" s="1">
        <v>7046.3156000000008</v>
      </c>
      <c r="M182" s="1">
        <v>10272.997558000001</v>
      </c>
      <c r="N182" s="1">
        <f>0.8886*10804.5</f>
        <v>9600.8786999999993</v>
      </c>
      <c r="O182" s="2">
        <f t="shared" si="207"/>
        <v>7046.3156000000008</v>
      </c>
      <c r="P182" s="2">
        <f t="shared" si="245"/>
        <v>8807.8945000000003</v>
      </c>
      <c r="Q182" s="1">
        <v>0</v>
      </c>
      <c r="R182" s="1">
        <v>0</v>
      </c>
      <c r="S182" s="2">
        <f t="shared" si="208"/>
        <v>7046.3156000000008</v>
      </c>
      <c r="T182" s="1">
        <f t="shared" si="246"/>
        <v>12573</v>
      </c>
      <c r="U182" s="1"/>
      <c r="V182" s="13">
        <f>0.8402*10568</f>
        <v>8879.2335999999996</v>
      </c>
      <c r="W182" s="2">
        <f t="shared" si="210"/>
        <v>7046.3156000000008</v>
      </c>
      <c r="X182" s="1">
        <f t="shared" si="242"/>
        <v>7046.3156000000008</v>
      </c>
      <c r="Y182" s="2">
        <f t="shared" si="211"/>
        <v>7046.3156000000008</v>
      </c>
      <c r="Z182" s="1">
        <f t="shared" si="243"/>
        <v>6606</v>
      </c>
      <c r="AA182" s="1">
        <f t="shared" si="212"/>
        <v>6693.9998200000009</v>
      </c>
      <c r="AB182" s="1">
        <f t="shared" si="213"/>
        <v>6341.684040000001</v>
      </c>
      <c r="AC182" s="1">
        <v>0</v>
      </c>
      <c r="AD182" s="1">
        <v>0</v>
      </c>
      <c r="AE182" s="2">
        <f t="shared" si="214"/>
        <v>7046.3156000000008</v>
      </c>
      <c r="AF182" s="2">
        <f t="shared" si="215"/>
        <v>7046.3156000000008</v>
      </c>
      <c r="AG182" s="1">
        <v>0</v>
      </c>
      <c r="AH182" s="1">
        <f t="shared" si="244"/>
        <v>13972.262499999999</v>
      </c>
      <c r="AI182" s="1">
        <f t="shared" si="237"/>
        <v>7750.9471600000015</v>
      </c>
      <c r="AJ182" s="2">
        <f t="shared" si="238"/>
        <v>7046.3156000000008</v>
      </c>
      <c r="AK182" s="1">
        <f t="shared" si="216"/>
        <v>9653.4523720000016</v>
      </c>
      <c r="AL182" s="2">
        <f t="shared" si="217"/>
        <v>7046.3156000000008</v>
      </c>
      <c r="AM182" s="2">
        <f t="shared" si="218"/>
        <v>7046.3156000000008</v>
      </c>
      <c r="AN182" s="2">
        <f t="shared" si="219"/>
        <v>7750.9471600000015</v>
      </c>
      <c r="AO182" s="2">
        <f t="shared" si="220"/>
        <v>7046.3156000000008</v>
      </c>
      <c r="AP182" s="2">
        <f t="shared" si="221"/>
        <v>10272.997558000001</v>
      </c>
      <c r="AQ182" s="2">
        <f t="shared" si="222"/>
        <v>7046.3156000000008</v>
      </c>
      <c r="AR182" s="1">
        <f t="shared" si="223"/>
        <v>9980.1875</v>
      </c>
      <c r="AS182" s="1">
        <f t="shared" si="224"/>
        <v>10272.997558000001</v>
      </c>
      <c r="AT182" s="2">
        <f t="shared" si="225"/>
        <v>7046.3156000000008</v>
      </c>
      <c r="AU182" s="1">
        <v>8887.3561125000015</v>
      </c>
      <c r="AV182" s="2">
        <f t="shared" si="226"/>
        <v>11300.297313800002</v>
      </c>
      <c r="AW182" s="2">
        <f t="shared" si="227"/>
        <v>7046.3156000000008</v>
      </c>
      <c r="AX182" s="1">
        <f t="shared" si="228"/>
        <v>6693.9998200000009</v>
      </c>
      <c r="AY182" s="2" t="str">
        <f t="shared" si="247"/>
        <v>6200.76 IPPS</v>
      </c>
      <c r="AZ182" s="1">
        <v>0</v>
      </c>
      <c r="BA182" s="1">
        <v>0</v>
      </c>
      <c r="BB182" s="1">
        <v>0</v>
      </c>
      <c r="BC182" s="1">
        <f t="shared" si="239"/>
        <v>7046.3156000000008</v>
      </c>
      <c r="BD182" s="1">
        <f t="shared" si="240"/>
        <v>7750.9471600000015</v>
      </c>
      <c r="BE182" s="1">
        <f t="shared" si="241"/>
        <v>6341.684040000001</v>
      </c>
      <c r="BF182" s="1">
        <v>0</v>
      </c>
      <c r="BG182" s="1">
        <v>0</v>
      </c>
      <c r="BH182" s="1">
        <v>0</v>
      </c>
      <c r="BI182" s="2">
        <f t="shared" si="229"/>
        <v>8455.5787200000013</v>
      </c>
      <c r="BJ182" s="2">
        <f t="shared" si="230"/>
        <v>7046.3156000000008</v>
      </c>
      <c r="BK182" s="2">
        <f t="shared" si="231"/>
        <v>6693.9998200000009</v>
      </c>
      <c r="BL182" s="2">
        <f t="shared" si="232"/>
        <v>7046.3156000000008</v>
      </c>
      <c r="BM182" s="13">
        <f>0.8402*9755</f>
        <v>8196.1509999999998</v>
      </c>
      <c r="BN182" s="2">
        <f t="shared" si="233"/>
        <v>7046.3156000000008</v>
      </c>
      <c r="BO182" s="2">
        <f t="shared" si="234"/>
        <v>0</v>
      </c>
      <c r="BP182" s="2">
        <f t="shared" si="235"/>
        <v>13972.262499999999</v>
      </c>
      <c r="BQ182" s="22"/>
    </row>
    <row r="183" spans="1:69" ht="20.100000000000001" customHeight="1" x14ac:dyDescent="0.2">
      <c r="A183" s="17">
        <f t="shared" si="203"/>
        <v>181</v>
      </c>
      <c r="B183" s="24">
        <v>552</v>
      </c>
      <c r="C183" s="18" t="s">
        <v>64</v>
      </c>
      <c r="D183" s="19" t="s">
        <v>278</v>
      </c>
      <c r="E183" s="18" t="s">
        <v>248</v>
      </c>
      <c r="F183" s="8">
        <v>19960.375</v>
      </c>
      <c r="G183" s="18" t="s">
        <v>64</v>
      </c>
      <c r="H183" s="12">
        <v>0</v>
      </c>
      <c r="I183" s="24">
        <v>3</v>
      </c>
      <c r="J183" s="2">
        <f t="shared" si="206"/>
        <v>9978.0760559999999</v>
      </c>
      <c r="K183" s="21" t="s">
        <v>249</v>
      </c>
      <c r="L183" s="1">
        <v>7675.4431199999999</v>
      </c>
      <c r="M183" s="1">
        <v>10272.997558000001</v>
      </c>
      <c r="N183" s="1">
        <f>0.9119*10804.5</f>
        <v>9852.6235500000003</v>
      </c>
      <c r="O183" s="2">
        <f t="shared" si="207"/>
        <v>7675.4431199999999</v>
      </c>
      <c r="P183" s="2">
        <f t="shared" si="245"/>
        <v>9594.303899999999</v>
      </c>
      <c r="Q183" s="1">
        <v>0</v>
      </c>
      <c r="R183" s="1">
        <v>0</v>
      </c>
      <c r="S183" s="2">
        <f t="shared" si="208"/>
        <v>7675.4431199999999</v>
      </c>
      <c r="T183" s="1">
        <f t="shared" si="246"/>
        <v>12573</v>
      </c>
      <c r="U183" s="1"/>
      <c r="V183" s="13">
        <f>0.9605*10568</f>
        <v>10150.564</v>
      </c>
      <c r="W183" s="2">
        <f t="shared" si="210"/>
        <v>7675.4431199999999</v>
      </c>
      <c r="X183" s="1">
        <f t="shared" si="242"/>
        <v>7675.4431199999999</v>
      </c>
      <c r="Y183" s="2">
        <f t="shared" si="211"/>
        <v>7675.4431199999999</v>
      </c>
      <c r="Z183" s="1">
        <f t="shared" si="243"/>
        <v>6606</v>
      </c>
      <c r="AA183" s="1">
        <f t="shared" si="212"/>
        <v>7291.6709639999999</v>
      </c>
      <c r="AB183" s="1">
        <f t="shared" si="213"/>
        <v>6907.8988079999999</v>
      </c>
      <c r="AC183" s="1">
        <v>0</v>
      </c>
      <c r="AD183" s="1">
        <v>0</v>
      </c>
      <c r="AE183" s="2">
        <f t="shared" si="214"/>
        <v>7675.4431199999999</v>
      </c>
      <c r="AF183" s="2">
        <f t="shared" si="215"/>
        <v>7675.4431199999999</v>
      </c>
      <c r="AG183" s="1">
        <v>0</v>
      </c>
      <c r="AH183" s="1">
        <f t="shared" si="244"/>
        <v>13972.262499999999</v>
      </c>
      <c r="AI183" s="1">
        <f t="shared" si="237"/>
        <v>8442.9874319999999</v>
      </c>
      <c r="AJ183" s="2">
        <f t="shared" si="238"/>
        <v>7675.4431199999999</v>
      </c>
      <c r="AK183" s="1">
        <f t="shared" si="216"/>
        <v>10515.357074400001</v>
      </c>
      <c r="AL183" s="2">
        <f t="shared" si="217"/>
        <v>7675.4431199999999</v>
      </c>
      <c r="AM183" s="2">
        <f t="shared" si="218"/>
        <v>7675.4431199999999</v>
      </c>
      <c r="AN183" s="2">
        <f t="shared" si="219"/>
        <v>8442.9874319999999</v>
      </c>
      <c r="AO183" s="2">
        <f t="shared" si="220"/>
        <v>7675.4431199999999</v>
      </c>
      <c r="AP183" s="2">
        <f t="shared" si="221"/>
        <v>10272.997558000001</v>
      </c>
      <c r="AQ183" s="2">
        <f t="shared" si="222"/>
        <v>7675.4431199999999</v>
      </c>
      <c r="AR183" s="1">
        <f t="shared" si="223"/>
        <v>9980.1875</v>
      </c>
      <c r="AS183" s="1">
        <f t="shared" si="224"/>
        <v>10272.997558000001</v>
      </c>
      <c r="AT183" s="2">
        <f t="shared" si="225"/>
        <v>7675.4431199999999</v>
      </c>
      <c r="AU183" s="1">
        <v>8887.3561125000015</v>
      </c>
      <c r="AV183" s="2">
        <f t="shared" si="226"/>
        <v>11300.297313800002</v>
      </c>
      <c r="AW183" s="2">
        <f t="shared" si="227"/>
        <v>7675.4431199999999</v>
      </c>
      <c r="AX183" s="1">
        <f t="shared" si="228"/>
        <v>7291.6709639999999</v>
      </c>
      <c r="AY183" s="2" t="str">
        <f t="shared" si="247"/>
        <v>6754.39 IPPS</v>
      </c>
      <c r="AZ183" s="1">
        <v>0</v>
      </c>
      <c r="BA183" s="1">
        <v>0</v>
      </c>
      <c r="BB183" s="1">
        <v>0</v>
      </c>
      <c r="BC183" s="1">
        <f t="shared" si="239"/>
        <v>7675.4431199999999</v>
      </c>
      <c r="BD183" s="1">
        <f t="shared" si="240"/>
        <v>8442.9874319999999</v>
      </c>
      <c r="BE183" s="1">
        <f t="shared" si="241"/>
        <v>6907.8988079999999</v>
      </c>
      <c r="BF183" s="1">
        <v>0</v>
      </c>
      <c r="BG183" s="1">
        <v>0</v>
      </c>
      <c r="BH183" s="1">
        <v>0</v>
      </c>
      <c r="BI183" s="2">
        <f t="shared" si="229"/>
        <v>9210.5317439999999</v>
      </c>
      <c r="BJ183" s="2">
        <f t="shared" si="230"/>
        <v>7675.4431199999999</v>
      </c>
      <c r="BK183" s="2">
        <f t="shared" si="231"/>
        <v>7291.6709639999999</v>
      </c>
      <c r="BL183" s="2">
        <f t="shared" si="232"/>
        <v>7675.4431199999999</v>
      </c>
      <c r="BM183" s="13">
        <f>0.9605*9755</f>
        <v>9369.6774999999998</v>
      </c>
      <c r="BN183" s="2">
        <f t="shared" si="233"/>
        <v>7675.4431199999999</v>
      </c>
      <c r="BO183" s="2">
        <f t="shared" si="234"/>
        <v>0</v>
      </c>
      <c r="BP183" s="2">
        <f t="shared" si="235"/>
        <v>13972.262499999999</v>
      </c>
      <c r="BQ183" s="22"/>
    </row>
    <row r="184" spans="1:69" ht="20.100000000000001" customHeight="1" x14ac:dyDescent="0.2">
      <c r="A184" s="17">
        <f t="shared" si="203"/>
        <v>182</v>
      </c>
      <c r="B184" s="24">
        <v>812</v>
      </c>
      <c r="C184" s="18" t="s">
        <v>64</v>
      </c>
      <c r="D184" s="19" t="s">
        <v>279</v>
      </c>
      <c r="E184" s="18" t="s">
        <v>248</v>
      </c>
      <c r="F184" s="8">
        <v>18923.899999999998</v>
      </c>
      <c r="G184" s="18" t="s">
        <v>64</v>
      </c>
      <c r="H184" s="12">
        <v>0</v>
      </c>
      <c r="I184" s="24">
        <v>3</v>
      </c>
      <c r="J184" s="2">
        <f t="shared" si="206"/>
        <v>9333.1162080000013</v>
      </c>
      <c r="K184" s="21" t="s">
        <v>249</v>
      </c>
      <c r="L184" s="1">
        <v>7179.3201600000002</v>
      </c>
      <c r="M184" s="1">
        <v>10272.997558000001</v>
      </c>
      <c r="N184" s="1">
        <f>0.8707*10804.5</f>
        <v>9407.4781500000008</v>
      </c>
      <c r="O184" s="2">
        <f t="shared" si="207"/>
        <v>7179.3201600000002</v>
      </c>
      <c r="P184" s="2">
        <f t="shared" si="245"/>
        <v>8974.1502</v>
      </c>
      <c r="Q184" s="1">
        <v>0</v>
      </c>
      <c r="R184" s="1">
        <v>0</v>
      </c>
      <c r="S184" s="2">
        <f t="shared" si="208"/>
        <v>7179.3201600000002</v>
      </c>
      <c r="T184" s="1">
        <f t="shared" si="246"/>
        <v>12573</v>
      </c>
      <c r="U184" s="1"/>
      <c r="V184" s="13">
        <f>0.898*10568</f>
        <v>9490.0640000000003</v>
      </c>
      <c r="W184" s="2">
        <f t="shared" si="210"/>
        <v>7179.3201600000002</v>
      </c>
      <c r="X184" s="1">
        <f t="shared" si="242"/>
        <v>7179.3201600000002</v>
      </c>
      <c r="Y184" s="2">
        <f t="shared" si="211"/>
        <v>7179.3201600000002</v>
      </c>
      <c r="Z184" s="1">
        <f t="shared" si="243"/>
        <v>6606</v>
      </c>
      <c r="AA184" s="1">
        <f t="shared" si="212"/>
        <v>6820.3541519999999</v>
      </c>
      <c r="AB184" s="1">
        <f t="shared" si="213"/>
        <v>6461.3881440000005</v>
      </c>
      <c r="AC184" s="1">
        <v>0</v>
      </c>
      <c r="AD184" s="1">
        <v>0</v>
      </c>
      <c r="AE184" s="2">
        <f t="shared" si="214"/>
        <v>7179.3201600000002</v>
      </c>
      <c r="AF184" s="2">
        <f t="shared" si="215"/>
        <v>7179.3201600000002</v>
      </c>
      <c r="AG184" s="1">
        <v>0</v>
      </c>
      <c r="AH184" s="1">
        <f t="shared" si="244"/>
        <v>13246.729999999998</v>
      </c>
      <c r="AI184" s="1">
        <f t="shared" si="237"/>
        <v>7897.2521760000009</v>
      </c>
      <c r="AJ184" s="2">
        <f t="shared" si="238"/>
        <v>7179.3201600000002</v>
      </c>
      <c r="AK184" s="1">
        <f t="shared" si="216"/>
        <v>9835.6686192000016</v>
      </c>
      <c r="AL184" s="2">
        <f t="shared" si="217"/>
        <v>7179.3201600000002</v>
      </c>
      <c r="AM184" s="2">
        <f t="shared" si="218"/>
        <v>7179.3201600000002</v>
      </c>
      <c r="AN184" s="2">
        <f t="shared" si="219"/>
        <v>7897.2521760000009</v>
      </c>
      <c r="AO184" s="2">
        <f t="shared" si="220"/>
        <v>7179.3201600000002</v>
      </c>
      <c r="AP184" s="2">
        <f t="shared" si="221"/>
        <v>10272.997558000001</v>
      </c>
      <c r="AQ184" s="2">
        <f t="shared" si="222"/>
        <v>7179.3201600000002</v>
      </c>
      <c r="AR184" s="1">
        <f t="shared" si="223"/>
        <v>9461.9499999999989</v>
      </c>
      <c r="AS184" s="1">
        <f t="shared" si="224"/>
        <v>10272.997558000001</v>
      </c>
      <c r="AT184" s="2">
        <f t="shared" si="225"/>
        <v>7179.3201600000002</v>
      </c>
      <c r="AU184" s="1">
        <v>8887.3561125000015</v>
      </c>
      <c r="AV184" s="2">
        <f t="shared" si="226"/>
        <v>11300.297313800002</v>
      </c>
      <c r="AW184" s="2">
        <f t="shared" si="227"/>
        <v>7179.3201600000002</v>
      </c>
      <c r="AX184" s="1">
        <f t="shared" si="228"/>
        <v>6820.3541519999999</v>
      </c>
      <c r="AY184" s="2" t="str">
        <f t="shared" si="247"/>
        <v>6317.8 IPPS</v>
      </c>
      <c r="AZ184" s="1">
        <v>0</v>
      </c>
      <c r="BA184" s="1">
        <v>0</v>
      </c>
      <c r="BB184" s="1">
        <v>0</v>
      </c>
      <c r="BC184" s="1">
        <f t="shared" si="239"/>
        <v>7179.3201600000002</v>
      </c>
      <c r="BD184" s="1">
        <f t="shared" si="240"/>
        <v>7897.2521760000009</v>
      </c>
      <c r="BE184" s="1">
        <f t="shared" si="241"/>
        <v>6461.3881440000005</v>
      </c>
      <c r="BF184" s="1">
        <v>0</v>
      </c>
      <c r="BG184" s="1">
        <v>0</v>
      </c>
      <c r="BH184" s="1">
        <v>0</v>
      </c>
      <c r="BI184" s="2">
        <f t="shared" si="229"/>
        <v>8615.1841920000006</v>
      </c>
      <c r="BJ184" s="2">
        <f t="shared" si="230"/>
        <v>7179.3201600000002</v>
      </c>
      <c r="BK184" s="2">
        <f t="shared" si="231"/>
        <v>6820.3541519999999</v>
      </c>
      <c r="BL184" s="2">
        <f t="shared" si="232"/>
        <v>7179.3201600000002</v>
      </c>
      <c r="BM184" s="13">
        <f>0.898*9755</f>
        <v>8759.99</v>
      </c>
      <c r="BN184" s="2">
        <f t="shared" si="233"/>
        <v>7179.3201600000002</v>
      </c>
      <c r="BO184" s="2">
        <f t="shared" si="234"/>
        <v>0</v>
      </c>
      <c r="BP184" s="2">
        <f t="shared" si="235"/>
        <v>13246.729999999998</v>
      </c>
      <c r="BQ184" s="22"/>
    </row>
    <row r="185" spans="1:69" ht="20.100000000000001" customHeight="1" x14ac:dyDescent="0.2">
      <c r="A185" s="17">
        <f t="shared" si="203"/>
        <v>183</v>
      </c>
      <c r="B185" s="24">
        <v>239</v>
      </c>
      <c r="C185" s="18" t="s">
        <v>64</v>
      </c>
      <c r="D185" s="19" t="s">
        <v>280</v>
      </c>
      <c r="E185" s="18" t="s">
        <v>248</v>
      </c>
      <c r="F185" s="8">
        <v>72942.926000000007</v>
      </c>
      <c r="G185" s="18" t="s">
        <v>64</v>
      </c>
      <c r="H185" s="12">
        <v>0</v>
      </c>
      <c r="I185" s="24">
        <v>10</v>
      </c>
      <c r="J185" s="2">
        <f t="shared" si="206"/>
        <v>50008.723960000003</v>
      </c>
      <c r="K185" s="21" t="s">
        <v>249</v>
      </c>
      <c r="L185" s="1">
        <v>38468.249199999998</v>
      </c>
      <c r="M185" s="1">
        <v>8146.997346000001</v>
      </c>
      <c r="N185" s="1">
        <f>4.6697*10804.5</f>
        <v>50453.773649999996</v>
      </c>
      <c r="O185" s="2">
        <f t="shared" si="207"/>
        <v>38468.249199999998</v>
      </c>
      <c r="P185" s="2">
        <f t="shared" si="245"/>
        <v>48085.311499999996</v>
      </c>
      <c r="Q185" s="1">
        <v>0</v>
      </c>
      <c r="R185" s="1">
        <v>0</v>
      </c>
      <c r="S185" s="2">
        <f t="shared" si="208"/>
        <v>38468.249199999998</v>
      </c>
      <c r="T185" s="1">
        <f t="shared" si="246"/>
        <v>41910</v>
      </c>
      <c r="U185" s="1"/>
      <c r="V185" s="13">
        <f>4.6501*10568</f>
        <v>49142.256800000003</v>
      </c>
      <c r="W185" s="2">
        <f t="shared" si="210"/>
        <v>38468.249199999998</v>
      </c>
      <c r="X185" s="1">
        <f t="shared" si="242"/>
        <v>38468.249199999998</v>
      </c>
      <c r="Y185" s="1">
        <f t="shared" si="211"/>
        <v>38468.249199999998</v>
      </c>
      <c r="Z185" s="1">
        <f t="shared" si="243"/>
        <v>22020</v>
      </c>
      <c r="AA185" s="1">
        <f t="shared" si="212"/>
        <v>36544.836739999999</v>
      </c>
      <c r="AB185" s="1">
        <f t="shared" si="213"/>
        <v>34621.424279999999</v>
      </c>
      <c r="AC185" s="1">
        <v>0</v>
      </c>
      <c r="AD185" s="1">
        <v>0</v>
      </c>
      <c r="AE185" s="1">
        <f t="shared" si="214"/>
        <v>38468.249199999998</v>
      </c>
      <c r="AF185" s="1">
        <f t="shared" si="215"/>
        <v>38468.249199999998</v>
      </c>
      <c r="AG185" s="1">
        <v>0</v>
      </c>
      <c r="AH185" s="1">
        <f t="shared" si="244"/>
        <v>51060.048200000005</v>
      </c>
      <c r="AI185" s="1">
        <f t="shared" si="237"/>
        <v>42315.074120000005</v>
      </c>
      <c r="AJ185" s="2">
        <f t="shared" si="238"/>
        <v>38468.249199999998</v>
      </c>
      <c r="AK185" s="1">
        <f t="shared" si="216"/>
        <v>52701.501404000002</v>
      </c>
      <c r="AL185" s="1">
        <f t="shared" si="217"/>
        <v>38468.249199999998</v>
      </c>
      <c r="AM185" s="1">
        <f t="shared" si="218"/>
        <v>38468.249199999998</v>
      </c>
      <c r="AN185" s="2">
        <f t="shared" si="219"/>
        <v>42315.074120000005</v>
      </c>
      <c r="AO185" s="2">
        <f t="shared" si="220"/>
        <v>38468.249199999998</v>
      </c>
      <c r="AP185" s="2">
        <f t="shared" si="221"/>
        <v>8146.997346000001</v>
      </c>
      <c r="AQ185" s="1">
        <f t="shared" si="222"/>
        <v>38468.249199999998</v>
      </c>
      <c r="AR185" s="1">
        <f t="shared" si="223"/>
        <v>36471.463000000003</v>
      </c>
      <c r="AS185" s="1">
        <f t="shared" si="224"/>
        <v>8146.997346000001</v>
      </c>
      <c r="AT185" s="1">
        <f t="shared" si="225"/>
        <v>38468.249199999998</v>
      </c>
      <c r="AU185" s="1">
        <v>29624.520375000004</v>
      </c>
      <c r="AV185" s="2">
        <f t="shared" si="226"/>
        <v>8961.6970806000027</v>
      </c>
      <c r="AW185" s="1">
        <f t="shared" si="227"/>
        <v>38468.249199999998</v>
      </c>
      <c r="AX185" s="1">
        <f t="shared" si="228"/>
        <v>36544.836739999999</v>
      </c>
      <c r="AY185" s="2" t="str">
        <f t="shared" si="247"/>
        <v>33852.06 IPPS</v>
      </c>
      <c r="AZ185" s="1">
        <v>0</v>
      </c>
      <c r="BA185" s="1">
        <v>0</v>
      </c>
      <c r="BB185" s="1">
        <v>0</v>
      </c>
      <c r="BC185" s="1">
        <f t="shared" si="239"/>
        <v>38468.249199999998</v>
      </c>
      <c r="BD185" s="1">
        <f t="shared" si="240"/>
        <v>42315.074120000005</v>
      </c>
      <c r="BE185" s="1">
        <f t="shared" si="241"/>
        <v>34621.424279999999</v>
      </c>
      <c r="BF185" s="1">
        <v>0</v>
      </c>
      <c r="BG185" s="1">
        <v>0</v>
      </c>
      <c r="BH185" s="1">
        <v>0</v>
      </c>
      <c r="BI185" s="2">
        <f t="shared" si="229"/>
        <v>46161.899039999997</v>
      </c>
      <c r="BJ185" s="1">
        <f t="shared" si="230"/>
        <v>38468.249199999998</v>
      </c>
      <c r="BK185" s="2">
        <f t="shared" si="231"/>
        <v>36544.836739999999</v>
      </c>
      <c r="BL185" s="1">
        <f t="shared" si="232"/>
        <v>38468.249199999998</v>
      </c>
      <c r="BM185" s="13">
        <f>4.6501*9755</f>
        <v>45361.7255</v>
      </c>
      <c r="BN185" s="1">
        <f t="shared" si="233"/>
        <v>38468.249199999998</v>
      </c>
      <c r="BO185" s="2">
        <f t="shared" si="234"/>
        <v>0</v>
      </c>
      <c r="BP185" s="2">
        <f t="shared" si="235"/>
        <v>52701.501404000002</v>
      </c>
      <c r="BQ185" s="22"/>
    </row>
    <row r="186" spans="1:69" ht="20.100000000000001" customHeight="1" x14ac:dyDescent="0.2">
      <c r="A186" s="17">
        <f t="shared" si="203"/>
        <v>184</v>
      </c>
      <c r="B186" s="24">
        <v>208</v>
      </c>
      <c r="C186" s="18" t="s">
        <v>64</v>
      </c>
      <c r="D186" s="19" t="s">
        <v>281</v>
      </c>
      <c r="E186" s="18" t="s">
        <v>248</v>
      </c>
      <c r="F186" s="8">
        <v>99422</v>
      </c>
      <c r="G186" s="18" t="s">
        <v>64</v>
      </c>
      <c r="H186" s="12">
        <v>0</v>
      </c>
      <c r="I186" s="24">
        <v>5</v>
      </c>
      <c r="J186" s="2">
        <f t="shared" si="206"/>
        <v>26545.438399999999</v>
      </c>
      <c r="K186" s="21" t="s">
        <v>249</v>
      </c>
      <c r="L186" s="1">
        <v>20419.567999999999</v>
      </c>
      <c r="M186" s="1">
        <v>8146.997346000001</v>
      </c>
      <c r="N186" s="1">
        <f>2.4841*10804.5</f>
        <v>26839.458450000002</v>
      </c>
      <c r="O186" s="2">
        <f t="shared" si="207"/>
        <v>20419.567999999999</v>
      </c>
      <c r="P186" s="2">
        <f t="shared" si="245"/>
        <v>25524.46</v>
      </c>
      <c r="Q186" s="1">
        <v>0</v>
      </c>
      <c r="R186" s="1">
        <v>0</v>
      </c>
      <c r="S186" s="2">
        <f t="shared" si="208"/>
        <v>20419.567999999999</v>
      </c>
      <c r="T186" s="1">
        <f t="shared" si="246"/>
        <v>20955</v>
      </c>
      <c r="U186" s="1"/>
      <c r="V186" s="13">
        <f>2.6001*10568</f>
        <v>27477.856799999998</v>
      </c>
      <c r="W186" s="2">
        <f t="shared" si="210"/>
        <v>20419.567999999999</v>
      </c>
      <c r="X186" s="1">
        <f t="shared" si="242"/>
        <v>20419.567999999999</v>
      </c>
      <c r="Y186" s="2">
        <f t="shared" si="211"/>
        <v>20419.567999999999</v>
      </c>
      <c r="Z186" s="1">
        <f t="shared" si="243"/>
        <v>11010</v>
      </c>
      <c r="AA186" s="1">
        <f t="shared" si="212"/>
        <v>19398.589599999999</v>
      </c>
      <c r="AB186" s="1">
        <f t="shared" si="213"/>
        <v>18377.611199999999</v>
      </c>
      <c r="AC186" s="1">
        <v>0</v>
      </c>
      <c r="AD186" s="1">
        <v>0</v>
      </c>
      <c r="AE186" s="2">
        <f t="shared" si="214"/>
        <v>20419.567999999999</v>
      </c>
      <c r="AF186" s="2">
        <f t="shared" si="215"/>
        <v>20419.567999999999</v>
      </c>
      <c r="AG186" s="1">
        <v>0</v>
      </c>
      <c r="AH186" s="1">
        <f t="shared" si="244"/>
        <v>69595.399999999994</v>
      </c>
      <c r="AI186" s="1">
        <f t="shared" si="237"/>
        <v>22461.524799999999</v>
      </c>
      <c r="AJ186" s="2">
        <f t="shared" si="238"/>
        <v>20419.567999999999</v>
      </c>
      <c r="AK186" s="1">
        <f t="shared" si="216"/>
        <v>27974.80816</v>
      </c>
      <c r="AL186" s="2">
        <f t="shared" si="217"/>
        <v>20419.567999999999</v>
      </c>
      <c r="AM186" s="2">
        <f t="shared" si="218"/>
        <v>20419.567999999999</v>
      </c>
      <c r="AN186" s="2">
        <f t="shared" si="219"/>
        <v>22461.524799999999</v>
      </c>
      <c r="AO186" s="2">
        <f t="shared" si="220"/>
        <v>20419.567999999999</v>
      </c>
      <c r="AP186" s="2">
        <f t="shared" si="221"/>
        <v>8146.997346000001</v>
      </c>
      <c r="AQ186" s="2">
        <f t="shared" si="222"/>
        <v>20419.567999999999</v>
      </c>
      <c r="AR186" s="1">
        <f t="shared" si="223"/>
        <v>49711</v>
      </c>
      <c r="AS186" s="1">
        <f t="shared" si="224"/>
        <v>8146.997346000001</v>
      </c>
      <c r="AT186" s="2">
        <f t="shared" si="225"/>
        <v>20419.567999999999</v>
      </c>
      <c r="AU186" s="1">
        <v>14812.260187500002</v>
      </c>
      <c r="AV186" s="2">
        <f t="shared" si="226"/>
        <v>8961.6970806000027</v>
      </c>
      <c r="AW186" s="2">
        <f t="shared" si="227"/>
        <v>20419.567999999999</v>
      </c>
      <c r="AX186" s="1">
        <f t="shared" si="228"/>
        <v>19398.589599999999</v>
      </c>
      <c r="AY186" s="2" t="str">
        <f t="shared" si="247"/>
        <v>17969.22 IPPS</v>
      </c>
      <c r="AZ186" s="1">
        <v>0</v>
      </c>
      <c r="BA186" s="1">
        <v>0</v>
      </c>
      <c r="BB186" s="1">
        <v>0</v>
      </c>
      <c r="BC186" s="1">
        <f t="shared" si="239"/>
        <v>20419.567999999999</v>
      </c>
      <c r="BD186" s="1">
        <f t="shared" si="240"/>
        <v>22461.524799999999</v>
      </c>
      <c r="BE186" s="1">
        <f t="shared" si="241"/>
        <v>18377.611199999999</v>
      </c>
      <c r="BF186" s="1">
        <v>0</v>
      </c>
      <c r="BG186" s="1">
        <v>0</v>
      </c>
      <c r="BH186" s="1">
        <v>0</v>
      </c>
      <c r="BI186" s="2">
        <f t="shared" si="229"/>
        <v>24503.481599999999</v>
      </c>
      <c r="BJ186" s="2">
        <f t="shared" si="230"/>
        <v>20419.567999999999</v>
      </c>
      <c r="BK186" s="2">
        <f t="shared" si="231"/>
        <v>19398.589599999999</v>
      </c>
      <c r="BL186" s="2">
        <f t="shared" si="232"/>
        <v>20419.567999999999</v>
      </c>
      <c r="BM186" s="13">
        <f>2.6001*9755</f>
        <v>25363.975499999997</v>
      </c>
      <c r="BN186" s="2">
        <f t="shared" si="233"/>
        <v>20419.567999999999</v>
      </c>
      <c r="BO186" s="2">
        <f t="shared" si="234"/>
        <v>0</v>
      </c>
      <c r="BP186" s="2">
        <f t="shared" ref="BP186:BP218" si="248">MAX(N186:BN186)</f>
        <v>69595.399999999994</v>
      </c>
      <c r="BQ186" s="22"/>
    </row>
    <row r="187" spans="1:69" ht="20.100000000000001" customHeight="1" x14ac:dyDescent="0.25">
      <c r="A187" s="17">
        <f t="shared" si="203"/>
        <v>185</v>
      </c>
      <c r="B187" s="24">
        <v>371</v>
      </c>
      <c r="C187" s="18" t="s">
        <v>64</v>
      </c>
      <c r="D187" s="19" t="s">
        <v>282</v>
      </c>
      <c r="E187" s="18" t="s">
        <v>248</v>
      </c>
      <c r="F187" s="8">
        <v>35367.582000000002</v>
      </c>
      <c r="G187" s="18" t="s">
        <v>64</v>
      </c>
      <c r="H187" s="12">
        <v>0</v>
      </c>
      <c r="I187" s="24">
        <v>5</v>
      </c>
      <c r="J187" s="2">
        <f t="shared" si="206"/>
        <v>18118.364576</v>
      </c>
      <c r="K187" s="21" t="s">
        <v>249</v>
      </c>
      <c r="L187" s="1">
        <v>13937.203519999999</v>
      </c>
      <c r="M187" s="1">
        <v>3939.1542520000003</v>
      </c>
      <c r="N187" s="1">
        <f>1.7255*10804.5</f>
        <v>18643.16475</v>
      </c>
      <c r="O187" s="2">
        <f t="shared" si="207"/>
        <v>13937.203519999999</v>
      </c>
      <c r="P187" s="2">
        <f t="shared" si="245"/>
        <v>17421.504399999998</v>
      </c>
      <c r="Q187" s="1">
        <v>0</v>
      </c>
      <c r="R187" s="1">
        <v>0</v>
      </c>
      <c r="S187" s="2">
        <f t="shared" si="208"/>
        <v>13937.203519999999</v>
      </c>
      <c r="T187" s="1">
        <f t="shared" si="246"/>
        <v>20955</v>
      </c>
      <c r="U187" s="1"/>
      <c r="V187" s="32">
        <f>1.6918*10568</f>
        <v>17878.9424</v>
      </c>
      <c r="W187" s="2">
        <f t="shared" si="210"/>
        <v>13937.203519999999</v>
      </c>
      <c r="X187" s="1">
        <f t="shared" si="242"/>
        <v>13937.203519999999</v>
      </c>
      <c r="Y187" s="2">
        <f t="shared" si="211"/>
        <v>13937.203519999999</v>
      </c>
      <c r="Z187" s="1">
        <f t="shared" si="243"/>
        <v>11010</v>
      </c>
      <c r="AA187" s="1">
        <f t="shared" si="212"/>
        <v>13240.343343999999</v>
      </c>
      <c r="AB187" s="1">
        <f t="shared" si="213"/>
        <v>12543.483167999999</v>
      </c>
      <c r="AC187" s="1">
        <v>0</v>
      </c>
      <c r="AD187" s="1">
        <v>0</v>
      </c>
      <c r="AE187" s="2">
        <f t="shared" si="214"/>
        <v>13937.203519999999</v>
      </c>
      <c r="AF187" s="2">
        <f t="shared" si="215"/>
        <v>13937.203519999999</v>
      </c>
      <c r="AG187" s="1">
        <v>0</v>
      </c>
      <c r="AH187" s="1">
        <f t="shared" si="244"/>
        <v>24757.307400000002</v>
      </c>
      <c r="AI187" s="1">
        <f t="shared" si="237"/>
        <v>15330.923871999999</v>
      </c>
      <c r="AJ187" s="2">
        <f t="shared" si="238"/>
        <v>13937.203519999999</v>
      </c>
      <c r="AK187" s="1">
        <f t="shared" si="216"/>
        <v>19093.968822400002</v>
      </c>
      <c r="AL187" s="2">
        <f t="shared" si="217"/>
        <v>13937.203519999999</v>
      </c>
      <c r="AM187" s="2">
        <f t="shared" si="218"/>
        <v>13937.203519999999</v>
      </c>
      <c r="AN187" s="2">
        <f t="shared" si="219"/>
        <v>15330.923871999999</v>
      </c>
      <c r="AO187" s="2">
        <f t="shared" si="220"/>
        <v>13937.203519999999</v>
      </c>
      <c r="AP187" s="2">
        <f t="shared" si="221"/>
        <v>3939.1542520000003</v>
      </c>
      <c r="AQ187" s="2">
        <f t="shared" si="222"/>
        <v>13937.203519999999</v>
      </c>
      <c r="AR187" s="1">
        <f t="shared" si="223"/>
        <v>17683.791000000001</v>
      </c>
      <c r="AS187" s="1">
        <f t="shared" si="224"/>
        <v>3939.1542520000003</v>
      </c>
      <c r="AT187" s="2">
        <f t="shared" si="225"/>
        <v>13937.203519999999</v>
      </c>
      <c r="AU187" s="1">
        <v>14812.260187500002</v>
      </c>
      <c r="AV187" s="2">
        <f t="shared" si="226"/>
        <v>4333.069677200001</v>
      </c>
      <c r="AW187" s="2">
        <f t="shared" si="227"/>
        <v>13937.203519999999</v>
      </c>
      <c r="AX187" s="1">
        <f t="shared" si="228"/>
        <v>13240.343343999999</v>
      </c>
      <c r="AY187" s="2" t="str">
        <f t="shared" si="247"/>
        <v>12264.74 IPPS</v>
      </c>
      <c r="AZ187" s="1">
        <v>0</v>
      </c>
      <c r="BA187" s="1">
        <v>0</v>
      </c>
      <c r="BB187" s="1">
        <v>0</v>
      </c>
      <c r="BC187" s="1">
        <f t="shared" si="239"/>
        <v>13937.203519999999</v>
      </c>
      <c r="BD187" s="1">
        <f t="shared" si="240"/>
        <v>15330.923871999999</v>
      </c>
      <c r="BE187" s="1">
        <f t="shared" si="241"/>
        <v>12543.483167999999</v>
      </c>
      <c r="BF187" s="1">
        <v>0</v>
      </c>
      <c r="BG187" s="1">
        <v>0</v>
      </c>
      <c r="BH187" s="1">
        <v>0</v>
      </c>
      <c r="BI187" s="2">
        <f t="shared" si="229"/>
        <v>16724.644224</v>
      </c>
      <c r="BJ187" s="2">
        <f t="shared" si="230"/>
        <v>13937.203519999999</v>
      </c>
      <c r="BK187" s="2">
        <f t="shared" si="231"/>
        <v>13240.343343999999</v>
      </c>
      <c r="BL187" s="2">
        <f t="shared" si="232"/>
        <v>13937.203519999999</v>
      </c>
      <c r="BM187" s="32">
        <f>1.6918*9755</f>
        <v>16503.508999999998</v>
      </c>
      <c r="BN187" s="2">
        <f t="shared" si="233"/>
        <v>13937.203519999999</v>
      </c>
      <c r="BO187" s="2">
        <f t="shared" si="234"/>
        <v>0</v>
      </c>
      <c r="BP187" s="2">
        <f t="shared" si="248"/>
        <v>24757.307400000002</v>
      </c>
      <c r="BQ187" s="22"/>
    </row>
    <row r="188" spans="1:69" ht="20.100000000000001" customHeight="1" x14ac:dyDescent="0.2">
      <c r="A188" s="17">
        <f t="shared" si="203"/>
        <v>186</v>
      </c>
      <c r="B188" s="24">
        <v>439</v>
      </c>
      <c r="C188" s="18" t="s">
        <v>64</v>
      </c>
      <c r="D188" s="19" t="s">
        <v>283</v>
      </c>
      <c r="E188" s="18" t="s">
        <v>248</v>
      </c>
      <c r="F188" s="8">
        <v>35259.729999999996</v>
      </c>
      <c r="G188" s="18" t="s">
        <v>64</v>
      </c>
      <c r="H188" s="12">
        <v>0</v>
      </c>
      <c r="I188" s="24">
        <v>3</v>
      </c>
      <c r="J188" s="2">
        <f t="shared" si="206"/>
        <v>8967.6640559999996</v>
      </c>
      <c r="K188" s="21" t="s">
        <v>249</v>
      </c>
      <c r="L188" s="1">
        <v>6898.2031200000001</v>
      </c>
      <c r="M188" s="1">
        <v>4121.831424</v>
      </c>
      <c r="N188" s="1">
        <f>0.8472*10804.5</f>
        <v>9153.5723999999991</v>
      </c>
      <c r="O188" s="2">
        <f t="shared" si="207"/>
        <v>6898.2031200000001</v>
      </c>
      <c r="P188" s="2">
        <f t="shared" si="245"/>
        <v>8622.7538999999997</v>
      </c>
      <c r="Q188" s="1">
        <v>0</v>
      </c>
      <c r="R188" s="1">
        <v>0</v>
      </c>
      <c r="S188" s="2">
        <f t="shared" si="208"/>
        <v>6898.2031200000001</v>
      </c>
      <c r="T188" s="1">
        <f t="shared" si="246"/>
        <v>12573</v>
      </c>
      <c r="U188" s="1"/>
      <c r="V188" s="13">
        <f>0.8698*10568</f>
        <v>9192.0464000000011</v>
      </c>
      <c r="W188" s="2">
        <f t="shared" si="210"/>
        <v>6898.2031200000001</v>
      </c>
      <c r="X188" s="1">
        <f t="shared" si="242"/>
        <v>6898.2031200000001</v>
      </c>
      <c r="Y188" s="2">
        <f t="shared" si="211"/>
        <v>6898.2031200000001</v>
      </c>
      <c r="Z188" s="1">
        <f t="shared" si="243"/>
        <v>6606</v>
      </c>
      <c r="AA188" s="1">
        <f t="shared" si="212"/>
        <v>6553.2929640000002</v>
      </c>
      <c r="AB188" s="1">
        <f t="shared" si="213"/>
        <v>6208.3828080000003</v>
      </c>
      <c r="AC188" s="1">
        <v>0</v>
      </c>
      <c r="AD188" s="1">
        <v>0</v>
      </c>
      <c r="AE188" s="2">
        <f t="shared" si="214"/>
        <v>6898.2031200000001</v>
      </c>
      <c r="AF188" s="2">
        <f t="shared" si="215"/>
        <v>6898.2031200000001</v>
      </c>
      <c r="AG188" s="1">
        <v>0</v>
      </c>
      <c r="AH188" s="1">
        <f t="shared" si="244"/>
        <v>24681.810999999994</v>
      </c>
      <c r="AI188" s="1">
        <f t="shared" si="237"/>
        <v>7588.0234320000009</v>
      </c>
      <c r="AJ188" s="2">
        <f t="shared" si="238"/>
        <v>6898.2031200000001</v>
      </c>
      <c r="AK188" s="1">
        <f t="shared" si="216"/>
        <v>9450.5382744000017</v>
      </c>
      <c r="AL188" s="2">
        <f t="shared" si="217"/>
        <v>6898.2031200000001</v>
      </c>
      <c r="AM188" s="2">
        <f t="shared" si="218"/>
        <v>6898.2031200000001</v>
      </c>
      <c r="AN188" s="2">
        <f t="shared" si="219"/>
        <v>7588.0234320000009</v>
      </c>
      <c r="AO188" s="2">
        <f t="shared" si="220"/>
        <v>6898.2031200000001</v>
      </c>
      <c r="AP188" s="2">
        <f t="shared" si="221"/>
        <v>4121.831424</v>
      </c>
      <c r="AQ188" s="2">
        <f t="shared" si="222"/>
        <v>6898.2031200000001</v>
      </c>
      <c r="AR188" s="1">
        <f t="shared" si="223"/>
        <v>17629.864999999998</v>
      </c>
      <c r="AS188" s="1">
        <f t="shared" si="224"/>
        <v>4121.831424</v>
      </c>
      <c r="AT188" s="2">
        <f t="shared" si="225"/>
        <v>6898.2031200000001</v>
      </c>
      <c r="AU188" s="1">
        <v>8887.3561125000015</v>
      </c>
      <c r="AV188" s="2">
        <f t="shared" si="226"/>
        <v>4534.0145664000001</v>
      </c>
      <c r="AW188" s="2">
        <f t="shared" si="227"/>
        <v>6898.2031200000001</v>
      </c>
      <c r="AX188" s="1">
        <f t="shared" si="228"/>
        <v>6553.2929640000002</v>
      </c>
      <c r="AY188" s="2" t="str">
        <f t="shared" si="247"/>
        <v>6070.42 IPPS</v>
      </c>
      <c r="AZ188" s="1">
        <v>0</v>
      </c>
      <c r="BA188" s="1">
        <v>0</v>
      </c>
      <c r="BB188" s="1">
        <v>0</v>
      </c>
      <c r="BC188" s="1">
        <f t="shared" si="239"/>
        <v>6898.2031200000001</v>
      </c>
      <c r="BD188" s="1">
        <f t="shared" si="240"/>
        <v>7588.0234320000009</v>
      </c>
      <c r="BE188" s="1">
        <f t="shared" si="241"/>
        <v>6208.3828080000003</v>
      </c>
      <c r="BF188" s="1">
        <v>0</v>
      </c>
      <c r="BG188" s="1">
        <v>0</v>
      </c>
      <c r="BH188" s="1">
        <v>0</v>
      </c>
      <c r="BI188" s="2">
        <f t="shared" si="229"/>
        <v>8277.8437439999998</v>
      </c>
      <c r="BJ188" s="2">
        <f t="shared" si="230"/>
        <v>6898.2031200000001</v>
      </c>
      <c r="BK188" s="2">
        <f t="shared" si="231"/>
        <v>6553.2929640000002</v>
      </c>
      <c r="BL188" s="2">
        <f t="shared" si="232"/>
        <v>6898.2031200000001</v>
      </c>
      <c r="BM188" s="13">
        <f>0.8698*9755</f>
        <v>8484.8989999999994</v>
      </c>
      <c r="BN188" s="2">
        <f t="shared" si="233"/>
        <v>6898.2031200000001</v>
      </c>
      <c r="BO188" s="2">
        <f t="shared" si="234"/>
        <v>0</v>
      </c>
      <c r="BP188" s="2">
        <f t="shared" si="248"/>
        <v>24681.810999999994</v>
      </c>
      <c r="BQ188" s="22"/>
    </row>
    <row r="189" spans="1:69" ht="20.100000000000001" customHeight="1" x14ac:dyDescent="0.2">
      <c r="A189" s="17">
        <f t="shared" si="203"/>
        <v>187</v>
      </c>
      <c r="B189" s="24">
        <v>617</v>
      </c>
      <c r="C189" s="18" t="s">
        <v>64</v>
      </c>
      <c r="D189" s="19" t="s">
        <v>284</v>
      </c>
      <c r="E189" s="18" t="s">
        <v>248</v>
      </c>
      <c r="F189" s="8">
        <v>45306.072</v>
      </c>
      <c r="G189" s="18" t="s">
        <v>64</v>
      </c>
      <c r="H189" s="12">
        <v>0</v>
      </c>
      <c r="I189" s="24">
        <v>6</v>
      </c>
      <c r="J189" s="2">
        <f t="shared" si="206"/>
        <v>21284.216511999999</v>
      </c>
      <c r="K189" s="21" t="s">
        <v>249</v>
      </c>
      <c r="L189" s="1">
        <v>16372.47424</v>
      </c>
      <c r="M189" s="1">
        <v>8146.997346000001</v>
      </c>
      <c r="N189" s="1">
        <f>2.0513*10804.5</f>
        <v>22163.270849999997</v>
      </c>
      <c r="O189" s="2">
        <f t="shared" si="207"/>
        <v>16372.47424</v>
      </c>
      <c r="P189" s="2">
        <f t="shared" si="245"/>
        <v>20465.592799999999</v>
      </c>
      <c r="Q189" s="1">
        <v>0</v>
      </c>
      <c r="R189" s="1">
        <v>0</v>
      </c>
      <c r="S189" s="2">
        <f t="shared" si="208"/>
        <v>16372.47424</v>
      </c>
      <c r="T189" s="1">
        <f t="shared" si="246"/>
        <v>25146</v>
      </c>
      <c r="U189" s="1"/>
      <c r="V189" s="13">
        <f>1.944*10568</f>
        <v>20544.191999999999</v>
      </c>
      <c r="W189" s="2">
        <f t="shared" si="210"/>
        <v>16372.47424</v>
      </c>
      <c r="X189" s="1">
        <f t="shared" si="242"/>
        <v>16372.47424</v>
      </c>
      <c r="Y189" s="1">
        <f t="shared" si="211"/>
        <v>16372.47424</v>
      </c>
      <c r="Z189" s="1">
        <f t="shared" si="243"/>
        <v>13212</v>
      </c>
      <c r="AA189" s="1">
        <f t="shared" si="212"/>
        <v>15553.850527999999</v>
      </c>
      <c r="AB189" s="1">
        <f t="shared" si="213"/>
        <v>14735.226816</v>
      </c>
      <c r="AC189" s="1">
        <v>0</v>
      </c>
      <c r="AD189" s="1">
        <v>0</v>
      </c>
      <c r="AE189" s="1">
        <f t="shared" si="214"/>
        <v>16372.47424</v>
      </c>
      <c r="AF189" s="1">
        <f t="shared" si="215"/>
        <v>16372.47424</v>
      </c>
      <c r="AG189" s="1">
        <v>0</v>
      </c>
      <c r="AH189" s="1">
        <f t="shared" si="244"/>
        <v>31714.250399999997</v>
      </c>
      <c r="AI189" s="1">
        <f t="shared" si="237"/>
        <v>18009.721664000001</v>
      </c>
      <c r="AJ189" s="2">
        <f t="shared" si="238"/>
        <v>16372.47424</v>
      </c>
      <c r="AK189" s="1">
        <f t="shared" si="216"/>
        <v>22430.289708800003</v>
      </c>
      <c r="AL189" s="1">
        <f t="shared" si="217"/>
        <v>16372.47424</v>
      </c>
      <c r="AM189" s="1">
        <f t="shared" si="218"/>
        <v>16372.47424</v>
      </c>
      <c r="AN189" s="2">
        <f t="shared" si="219"/>
        <v>18009.721664000001</v>
      </c>
      <c r="AO189" s="2">
        <f t="shared" si="220"/>
        <v>16372.47424</v>
      </c>
      <c r="AP189" s="2">
        <f t="shared" si="221"/>
        <v>8146.997346000001</v>
      </c>
      <c r="AQ189" s="1">
        <f t="shared" si="222"/>
        <v>16372.47424</v>
      </c>
      <c r="AR189" s="1">
        <f t="shared" si="223"/>
        <v>22653.036</v>
      </c>
      <c r="AS189" s="1">
        <f t="shared" si="224"/>
        <v>8146.997346000001</v>
      </c>
      <c r="AT189" s="1">
        <f t="shared" si="225"/>
        <v>16372.47424</v>
      </c>
      <c r="AU189" s="1">
        <v>17774.712225000003</v>
      </c>
      <c r="AV189" s="2">
        <f t="shared" si="226"/>
        <v>8961.6970806000027</v>
      </c>
      <c r="AW189" s="1">
        <f t="shared" si="227"/>
        <v>16372.47424</v>
      </c>
      <c r="AX189" s="1">
        <f t="shared" si="228"/>
        <v>15553.850527999999</v>
      </c>
      <c r="AY189" s="2" t="str">
        <f t="shared" si="247"/>
        <v>14407.78 IPPS</v>
      </c>
      <c r="AZ189" s="1">
        <v>0</v>
      </c>
      <c r="BA189" s="1">
        <v>0</v>
      </c>
      <c r="BB189" s="1">
        <v>0</v>
      </c>
      <c r="BC189" s="1">
        <f t="shared" si="239"/>
        <v>16372.47424</v>
      </c>
      <c r="BD189" s="1">
        <f t="shared" si="240"/>
        <v>18009.721664000001</v>
      </c>
      <c r="BE189" s="1">
        <f t="shared" si="241"/>
        <v>14735.226816</v>
      </c>
      <c r="BF189" s="1">
        <v>0</v>
      </c>
      <c r="BG189" s="1">
        <v>0</v>
      </c>
      <c r="BH189" s="1">
        <v>0</v>
      </c>
      <c r="BI189" s="2">
        <f t="shared" si="229"/>
        <v>19646.969087999998</v>
      </c>
      <c r="BJ189" s="1">
        <f t="shared" si="230"/>
        <v>16372.47424</v>
      </c>
      <c r="BK189" s="2">
        <f t="shared" si="231"/>
        <v>15553.850527999999</v>
      </c>
      <c r="BL189" s="1">
        <f t="shared" si="232"/>
        <v>16372.47424</v>
      </c>
      <c r="BM189" s="13">
        <f>1.944*9755</f>
        <v>18963.72</v>
      </c>
      <c r="BN189" s="1">
        <f t="shared" si="233"/>
        <v>16372.47424</v>
      </c>
      <c r="BO189" s="2">
        <f t="shared" si="234"/>
        <v>0</v>
      </c>
      <c r="BP189" s="2">
        <f t="shared" si="248"/>
        <v>31714.250399999997</v>
      </c>
      <c r="BQ189" s="22"/>
    </row>
    <row r="190" spans="1:69" ht="20.100000000000001" customHeight="1" x14ac:dyDescent="0.2">
      <c r="A190" s="17">
        <f t="shared" si="203"/>
        <v>188</v>
      </c>
      <c r="B190" s="24">
        <v>71</v>
      </c>
      <c r="C190" s="18" t="s">
        <v>64</v>
      </c>
      <c r="D190" s="19" t="s">
        <v>285</v>
      </c>
      <c r="E190" s="18" t="s">
        <v>248</v>
      </c>
      <c r="F190" s="8">
        <v>28174.57</v>
      </c>
      <c r="G190" s="18" t="s">
        <v>64</v>
      </c>
      <c r="H190" s="12">
        <v>0</v>
      </c>
      <c r="I190" s="24">
        <v>3</v>
      </c>
      <c r="J190" s="2">
        <f t="shared" si="206"/>
        <v>10690.330664000001</v>
      </c>
      <c r="K190" s="21" t="s">
        <v>249</v>
      </c>
      <c r="L190" s="1">
        <v>8223.3312800000003</v>
      </c>
      <c r="M190" s="1">
        <v>5695.9751540000007</v>
      </c>
      <c r="N190" s="1">
        <f>0.9947*10804.5</f>
        <v>10747.236150000001</v>
      </c>
      <c r="O190" s="2">
        <f t="shared" si="207"/>
        <v>8223.3312800000003</v>
      </c>
      <c r="P190" s="2">
        <f t="shared" si="245"/>
        <v>10279.1641</v>
      </c>
      <c r="Q190" s="1">
        <v>0</v>
      </c>
      <c r="R190" s="1">
        <v>0</v>
      </c>
      <c r="S190" s="2">
        <f t="shared" si="208"/>
        <v>8223.3312800000003</v>
      </c>
      <c r="T190" s="1">
        <f t="shared" si="246"/>
        <v>12573</v>
      </c>
      <c r="U190" s="1"/>
      <c r="V190" s="13">
        <f>1.069*10568</f>
        <v>11297.191999999999</v>
      </c>
      <c r="W190" s="2">
        <f t="shared" si="210"/>
        <v>8223.3312800000003</v>
      </c>
      <c r="X190" s="1">
        <f t="shared" si="242"/>
        <v>8223.3312800000003</v>
      </c>
      <c r="Y190" s="2">
        <f t="shared" si="211"/>
        <v>8223.3312800000003</v>
      </c>
      <c r="Z190" s="1">
        <f t="shared" si="243"/>
        <v>6606</v>
      </c>
      <c r="AA190" s="1">
        <f t="shared" si="212"/>
        <v>7812.1647160000002</v>
      </c>
      <c r="AB190" s="1">
        <f t="shared" si="213"/>
        <v>7400.9981520000001</v>
      </c>
      <c r="AC190" s="1">
        <v>0</v>
      </c>
      <c r="AD190" s="1">
        <v>0</v>
      </c>
      <c r="AE190" s="2">
        <f t="shared" si="214"/>
        <v>8223.3312800000003</v>
      </c>
      <c r="AF190" s="2">
        <f t="shared" si="215"/>
        <v>8223.3312800000003</v>
      </c>
      <c r="AG190" s="1">
        <v>0</v>
      </c>
      <c r="AH190" s="1">
        <f t="shared" si="244"/>
        <v>19722.198999999997</v>
      </c>
      <c r="AI190" s="1">
        <f t="shared" si="237"/>
        <v>9045.6644080000005</v>
      </c>
      <c r="AJ190" s="2">
        <f t="shared" si="238"/>
        <v>8223.3312800000003</v>
      </c>
      <c r="AK190" s="1">
        <f t="shared" si="216"/>
        <v>11265.963853600002</v>
      </c>
      <c r="AL190" s="2">
        <f t="shared" si="217"/>
        <v>8223.3312800000003</v>
      </c>
      <c r="AM190" s="2">
        <f t="shared" si="218"/>
        <v>8223.3312800000003</v>
      </c>
      <c r="AN190" s="2">
        <f t="shared" si="219"/>
        <v>9045.6644080000005</v>
      </c>
      <c r="AO190" s="2">
        <f t="shared" si="220"/>
        <v>8223.3312800000003</v>
      </c>
      <c r="AP190" s="2">
        <f t="shared" si="221"/>
        <v>5695.9751540000007</v>
      </c>
      <c r="AQ190" s="2">
        <f t="shared" si="222"/>
        <v>8223.3312800000003</v>
      </c>
      <c r="AR190" s="1">
        <f t="shared" si="223"/>
        <v>14087.285</v>
      </c>
      <c r="AS190" s="1">
        <f t="shared" si="224"/>
        <v>5695.9751540000007</v>
      </c>
      <c r="AT190" s="2">
        <f t="shared" si="225"/>
        <v>8223.3312800000003</v>
      </c>
      <c r="AU190" s="1">
        <v>8887.3561125000015</v>
      </c>
      <c r="AV190" s="2">
        <f t="shared" si="226"/>
        <v>6265.5726694000014</v>
      </c>
      <c r="AW190" s="2">
        <f t="shared" si="227"/>
        <v>8223.3312800000003</v>
      </c>
      <c r="AX190" s="1">
        <f t="shared" si="228"/>
        <v>7812.1647160000002</v>
      </c>
      <c r="AY190" s="2" t="str">
        <f t="shared" si="247"/>
        <v>7236.53 IPPS</v>
      </c>
      <c r="AZ190" s="1">
        <v>0</v>
      </c>
      <c r="BA190" s="1">
        <v>0</v>
      </c>
      <c r="BB190" s="1">
        <v>0</v>
      </c>
      <c r="BC190" s="1">
        <f t="shared" si="239"/>
        <v>8223.3312800000003</v>
      </c>
      <c r="BD190" s="1">
        <f t="shared" si="240"/>
        <v>9045.6644080000005</v>
      </c>
      <c r="BE190" s="1">
        <f t="shared" si="241"/>
        <v>7400.9981520000001</v>
      </c>
      <c r="BF190" s="1">
        <v>0</v>
      </c>
      <c r="BG190" s="1">
        <v>0</v>
      </c>
      <c r="BH190" s="1">
        <v>0</v>
      </c>
      <c r="BI190" s="2">
        <f t="shared" si="229"/>
        <v>9867.9975360000008</v>
      </c>
      <c r="BJ190" s="2">
        <f t="shared" si="230"/>
        <v>8223.3312800000003</v>
      </c>
      <c r="BK190" s="2">
        <f t="shared" si="231"/>
        <v>7812.1647160000002</v>
      </c>
      <c r="BL190" s="2">
        <f t="shared" si="232"/>
        <v>8223.3312800000003</v>
      </c>
      <c r="BM190" s="13">
        <f>1.069*9755</f>
        <v>10428.094999999999</v>
      </c>
      <c r="BN190" s="2">
        <f t="shared" si="233"/>
        <v>8223.3312800000003</v>
      </c>
      <c r="BO190" s="2">
        <f t="shared" si="234"/>
        <v>0</v>
      </c>
      <c r="BP190" s="2">
        <f t="shared" si="248"/>
        <v>19722.198999999997</v>
      </c>
      <c r="BQ190" s="22"/>
    </row>
    <row r="191" spans="1:69" ht="20.100000000000001" customHeight="1" x14ac:dyDescent="0.2">
      <c r="A191" s="17">
        <f t="shared" si="203"/>
        <v>189</v>
      </c>
      <c r="B191" s="24">
        <v>101</v>
      </c>
      <c r="C191" s="18" t="s">
        <v>64</v>
      </c>
      <c r="D191" s="19" t="s">
        <v>286</v>
      </c>
      <c r="E191" s="18" t="s">
        <v>248</v>
      </c>
      <c r="F191" s="8">
        <v>12119.35</v>
      </c>
      <c r="G191" s="18" t="s">
        <v>64</v>
      </c>
      <c r="H191" s="12">
        <v>0</v>
      </c>
      <c r="I191" s="24">
        <v>3</v>
      </c>
      <c r="J191" s="2">
        <f t="shared" si="206"/>
        <v>9408.6791760000015</v>
      </c>
      <c r="K191" s="21" t="s">
        <v>249</v>
      </c>
      <c r="L191" s="1">
        <v>7237.4455200000002</v>
      </c>
      <c r="M191" s="1">
        <v>3457.318679</v>
      </c>
      <c r="N191" s="1">
        <f>0.8829*10804.5</f>
        <v>9539.2930500000002</v>
      </c>
      <c r="O191" s="2">
        <f t="shared" si="207"/>
        <v>7237.4455200000002</v>
      </c>
      <c r="P191" s="2">
        <f t="shared" si="245"/>
        <v>9046.8068999999996</v>
      </c>
      <c r="Q191" s="1">
        <v>0</v>
      </c>
      <c r="R191" s="1">
        <v>0</v>
      </c>
      <c r="S191" s="2">
        <f t="shared" si="208"/>
        <v>7237.4455200000002</v>
      </c>
      <c r="T191" s="1">
        <f t="shared" si="246"/>
        <v>12573</v>
      </c>
      <c r="U191" s="1"/>
      <c r="V191" s="13">
        <f>0.9015*10568</f>
        <v>9527.0519999999997</v>
      </c>
      <c r="W191" s="2">
        <f t="shared" si="210"/>
        <v>7237.4455200000002</v>
      </c>
      <c r="X191" s="1">
        <f t="shared" si="242"/>
        <v>7237.4455200000002</v>
      </c>
      <c r="Y191" s="2">
        <f t="shared" si="211"/>
        <v>7237.4455200000002</v>
      </c>
      <c r="Z191" s="1">
        <f t="shared" si="243"/>
        <v>6606</v>
      </c>
      <c r="AA191" s="1">
        <f t="shared" si="212"/>
        <v>6875.5732440000002</v>
      </c>
      <c r="AB191" s="1">
        <f t="shared" si="213"/>
        <v>6513.7009680000001</v>
      </c>
      <c r="AC191" s="1">
        <v>0</v>
      </c>
      <c r="AD191" s="1">
        <v>0</v>
      </c>
      <c r="AE191" s="2">
        <f t="shared" si="214"/>
        <v>7237.4455200000002</v>
      </c>
      <c r="AF191" s="2">
        <f t="shared" si="215"/>
        <v>7237.4455200000002</v>
      </c>
      <c r="AG191" s="1">
        <v>0</v>
      </c>
      <c r="AH191" s="1">
        <f t="shared" si="244"/>
        <v>8483.5450000000001</v>
      </c>
      <c r="AI191" s="1">
        <f t="shared" si="237"/>
        <v>7961.1900720000012</v>
      </c>
      <c r="AJ191" s="2">
        <f t="shared" si="238"/>
        <v>7237.4455200000002</v>
      </c>
      <c r="AK191" s="1">
        <f t="shared" si="216"/>
        <v>9915.3003624000012</v>
      </c>
      <c r="AL191" s="2">
        <f t="shared" si="217"/>
        <v>7237.4455200000002</v>
      </c>
      <c r="AM191" s="2">
        <f t="shared" si="218"/>
        <v>7237.4455200000002</v>
      </c>
      <c r="AN191" s="2">
        <f t="shared" si="219"/>
        <v>7961.1900720000012</v>
      </c>
      <c r="AO191" s="2">
        <f t="shared" si="220"/>
        <v>7237.4455200000002</v>
      </c>
      <c r="AP191" s="2">
        <f t="shared" si="221"/>
        <v>3457.318679</v>
      </c>
      <c r="AQ191" s="2">
        <f t="shared" si="222"/>
        <v>7237.4455200000002</v>
      </c>
      <c r="AR191" s="1">
        <f t="shared" si="223"/>
        <v>6059.6750000000002</v>
      </c>
      <c r="AS191" s="1">
        <f t="shared" si="224"/>
        <v>3457.318679</v>
      </c>
      <c r="AT191" s="2">
        <f t="shared" si="225"/>
        <v>7237.4455200000002</v>
      </c>
      <c r="AU191" s="1">
        <v>8887.3561125000015</v>
      </c>
      <c r="AV191" s="2">
        <f t="shared" si="226"/>
        <v>3803.0505469000004</v>
      </c>
      <c r="AW191" s="2">
        <f t="shared" si="227"/>
        <v>7237.4455200000002</v>
      </c>
      <c r="AX191" s="1">
        <f t="shared" si="228"/>
        <v>6875.5732440000002</v>
      </c>
      <c r="AY191" s="2" t="str">
        <f t="shared" si="247"/>
        <v>6368.95 IPPS</v>
      </c>
      <c r="AZ191" s="1">
        <v>0</v>
      </c>
      <c r="BA191" s="1">
        <v>0</v>
      </c>
      <c r="BB191" s="1">
        <v>0</v>
      </c>
      <c r="BC191" s="1">
        <f t="shared" si="239"/>
        <v>7237.4455200000002</v>
      </c>
      <c r="BD191" s="1">
        <f t="shared" si="240"/>
        <v>7961.1900720000012</v>
      </c>
      <c r="BE191" s="1">
        <f t="shared" si="241"/>
        <v>6513.7009680000001</v>
      </c>
      <c r="BF191" s="1">
        <v>0</v>
      </c>
      <c r="BG191" s="1">
        <v>0</v>
      </c>
      <c r="BH191" s="1">
        <v>0</v>
      </c>
      <c r="BI191" s="2">
        <f t="shared" si="229"/>
        <v>8684.9346239999995</v>
      </c>
      <c r="BJ191" s="2">
        <f t="shared" si="230"/>
        <v>7237.4455200000002</v>
      </c>
      <c r="BK191" s="2">
        <f t="shared" si="231"/>
        <v>6875.5732440000002</v>
      </c>
      <c r="BL191" s="2">
        <f t="shared" si="232"/>
        <v>7237.4455200000002</v>
      </c>
      <c r="BM191" s="13">
        <f>0.9015*9755</f>
        <v>8794.1324999999997</v>
      </c>
      <c r="BN191" s="2">
        <f t="shared" si="233"/>
        <v>7237.4455200000002</v>
      </c>
      <c r="BO191" s="2">
        <f t="shared" si="234"/>
        <v>0</v>
      </c>
      <c r="BP191" s="2">
        <f t="shared" si="248"/>
        <v>12573</v>
      </c>
      <c r="BQ191" s="22"/>
    </row>
    <row r="192" spans="1:69" ht="20.100000000000001" customHeight="1" x14ac:dyDescent="0.2">
      <c r="A192" s="17">
        <f t="shared" si="203"/>
        <v>190</v>
      </c>
      <c r="B192" s="24">
        <v>312</v>
      </c>
      <c r="C192" s="18" t="s">
        <v>64</v>
      </c>
      <c r="D192" s="19" t="s">
        <v>287</v>
      </c>
      <c r="E192" s="18" t="s">
        <v>248</v>
      </c>
      <c r="F192" s="8">
        <v>18709.521999999997</v>
      </c>
      <c r="G192" s="18" t="s">
        <v>64</v>
      </c>
      <c r="H192" s="12">
        <v>0</v>
      </c>
      <c r="I192" s="24">
        <v>2</v>
      </c>
      <c r="J192" s="2">
        <f t="shared" si="206"/>
        <v>8893.1048960000007</v>
      </c>
      <c r="K192" s="21" t="s">
        <v>249</v>
      </c>
      <c r="L192" s="1">
        <v>6840.8499199999997</v>
      </c>
      <c r="M192" s="1">
        <v>3726.0175340000001</v>
      </c>
      <c r="N192" s="1">
        <f>0.8166*10804.5</f>
        <v>8822.9547000000002</v>
      </c>
      <c r="O192" s="2">
        <f t="shared" si="207"/>
        <v>6840.8499199999997</v>
      </c>
      <c r="P192" s="2">
        <f t="shared" si="245"/>
        <v>8551.0623999999989</v>
      </c>
      <c r="Q192" s="1">
        <v>0</v>
      </c>
      <c r="R192" s="1">
        <v>0</v>
      </c>
      <c r="S192" s="2">
        <f t="shared" si="208"/>
        <v>6840.8499199999997</v>
      </c>
      <c r="T192" s="1">
        <f t="shared" si="246"/>
        <v>8382</v>
      </c>
      <c r="U192" s="1"/>
      <c r="V192" s="13">
        <f>0.8527*10568</f>
        <v>9011.3335999999999</v>
      </c>
      <c r="W192" s="2">
        <f t="shared" si="210"/>
        <v>6840.8499199999997</v>
      </c>
      <c r="X192" s="1">
        <f t="shared" si="242"/>
        <v>6840.8499199999997</v>
      </c>
      <c r="Y192" s="2">
        <f t="shared" si="211"/>
        <v>6840.8499199999997</v>
      </c>
      <c r="Z192" s="1">
        <f t="shared" si="243"/>
        <v>4404</v>
      </c>
      <c r="AA192" s="1">
        <f t="shared" si="212"/>
        <v>6498.8074239999996</v>
      </c>
      <c r="AB192" s="1">
        <f t="shared" si="213"/>
        <v>6156.7649279999996</v>
      </c>
      <c r="AC192" s="1">
        <v>0</v>
      </c>
      <c r="AD192" s="1">
        <v>0</v>
      </c>
      <c r="AE192" s="2">
        <f t="shared" si="214"/>
        <v>6840.8499199999997</v>
      </c>
      <c r="AF192" s="2">
        <f t="shared" si="215"/>
        <v>6840.8499199999997</v>
      </c>
      <c r="AG192" s="1">
        <v>0</v>
      </c>
      <c r="AH192" s="1">
        <f t="shared" si="244"/>
        <v>13096.665399999998</v>
      </c>
      <c r="AI192" s="1">
        <f t="shared" si="237"/>
        <v>7524.9349120000006</v>
      </c>
      <c r="AJ192" s="2">
        <f t="shared" si="238"/>
        <v>6840.8499199999997</v>
      </c>
      <c r="AK192" s="1">
        <f t="shared" si="216"/>
        <v>9371.9643904000004</v>
      </c>
      <c r="AL192" s="2">
        <f t="shared" si="217"/>
        <v>6840.8499199999997</v>
      </c>
      <c r="AM192" s="2">
        <f t="shared" si="218"/>
        <v>6840.8499199999997</v>
      </c>
      <c r="AN192" s="2">
        <f t="shared" si="219"/>
        <v>7524.9349120000006</v>
      </c>
      <c r="AO192" s="2">
        <f t="shared" si="220"/>
        <v>6840.8499199999997</v>
      </c>
      <c r="AP192" s="2">
        <f t="shared" si="221"/>
        <v>3726.0175340000001</v>
      </c>
      <c r="AQ192" s="2">
        <f t="shared" si="222"/>
        <v>6840.8499199999997</v>
      </c>
      <c r="AR192" s="1">
        <f t="shared" si="223"/>
        <v>9354.7609999999986</v>
      </c>
      <c r="AS192" s="1">
        <f t="shared" si="224"/>
        <v>3726.0175340000001</v>
      </c>
      <c r="AT192" s="2">
        <f t="shared" si="225"/>
        <v>6840.8499199999997</v>
      </c>
      <c r="AU192" s="1">
        <v>5924.9040750000013</v>
      </c>
      <c r="AV192" s="2">
        <f t="shared" si="226"/>
        <v>4098.6192874000008</v>
      </c>
      <c r="AW192" s="2">
        <f t="shared" si="227"/>
        <v>6840.8499199999997</v>
      </c>
      <c r="AX192" s="1">
        <f t="shared" si="228"/>
        <v>6498.8074239999996</v>
      </c>
      <c r="AY192" s="2" t="str">
        <f t="shared" si="247"/>
        <v>6019.95 IPPS</v>
      </c>
      <c r="AZ192" s="1">
        <v>0</v>
      </c>
      <c r="BA192" s="1">
        <v>0</v>
      </c>
      <c r="BB192" s="1">
        <v>0</v>
      </c>
      <c r="BC192" s="1">
        <f t="shared" si="239"/>
        <v>6840.8499199999997</v>
      </c>
      <c r="BD192" s="1">
        <f t="shared" si="240"/>
        <v>7524.9349120000006</v>
      </c>
      <c r="BE192" s="1">
        <f t="shared" si="241"/>
        <v>6156.7649279999996</v>
      </c>
      <c r="BF192" s="1">
        <v>0</v>
      </c>
      <c r="BG192" s="1">
        <v>0</v>
      </c>
      <c r="BH192" s="1">
        <v>0</v>
      </c>
      <c r="BI192" s="2">
        <f t="shared" si="229"/>
        <v>8209.0199039999989</v>
      </c>
      <c r="BJ192" s="2">
        <f t="shared" si="230"/>
        <v>6840.8499199999997</v>
      </c>
      <c r="BK192" s="2">
        <f t="shared" si="231"/>
        <v>6498.8074239999996</v>
      </c>
      <c r="BL192" s="2">
        <f t="shared" si="232"/>
        <v>6840.8499199999997</v>
      </c>
      <c r="BM192" s="13">
        <f>0.8527*9755</f>
        <v>8318.0884999999998</v>
      </c>
      <c r="BN192" s="2">
        <f t="shared" si="233"/>
        <v>6840.8499199999997</v>
      </c>
      <c r="BO192" s="2">
        <f t="shared" si="234"/>
        <v>0</v>
      </c>
      <c r="BP192" s="2">
        <f t="shared" si="248"/>
        <v>13096.665399999998</v>
      </c>
      <c r="BQ192" s="22"/>
    </row>
    <row r="193" spans="1:69" ht="20.100000000000001" customHeight="1" x14ac:dyDescent="0.2">
      <c r="A193" s="17">
        <f t="shared" si="203"/>
        <v>191</v>
      </c>
      <c r="B193" s="24">
        <v>743</v>
      </c>
      <c r="C193" s="18" t="s">
        <v>64</v>
      </c>
      <c r="D193" s="19" t="s">
        <v>288</v>
      </c>
      <c r="E193" s="18" t="s">
        <v>248</v>
      </c>
      <c r="F193" s="9">
        <v>0</v>
      </c>
      <c r="G193" s="18" t="s">
        <v>64</v>
      </c>
      <c r="H193" s="12">
        <v>0</v>
      </c>
      <c r="I193" s="24">
        <v>0</v>
      </c>
      <c r="J193" s="2">
        <v>0</v>
      </c>
      <c r="K193" s="21" t="s">
        <v>249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V193" s="14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1">
        <f t="shared" si="239"/>
        <v>0</v>
      </c>
      <c r="BD193" s="1">
        <f t="shared" si="240"/>
        <v>0</v>
      </c>
      <c r="BE193" s="1">
        <f t="shared" si="241"/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f>MIN(N193:BN193:BN193)</f>
        <v>0</v>
      </c>
      <c r="BP193" s="2">
        <f t="shared" si="248"/>
        <v>0</v>
      </c>
      <c r="BQ193" s="22"/>
    </row>
    <row r="194" spans="1:69" ht="20.100000000000001" customHeight="1" x14ac:dyDescent="0.2">
      <c r="A194" s="17">
        <f t="shared" si="203"/>
        <v>192</v>
      </c>
      <c r="B194" s="24">
        <v>216</v>
      </c>
      <c r="C194" s="18" t="s">
        <v>64</v>
      </c>
      <c r="D194" s="19" t="s">
        <v>289</v>
      </c>
      <c r="E194" s="18" t="s">
        <v>248</v>
      </c>
      <c r="F194" s="9">
        <v>0</v>
      </c>
      <c r="G194" s="18" t="s">
        <v>64</v>
      </c>
      <c r="H194" s="12">
        <v>0</v>
      </c>
      <c r="I194" s="24">
        <v>0</v>
      </c>
      <c r="J194" s="2">
        <v>0</v>
      </c>
      <c r="K194" s="21" t="s">
        <v>249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V194" s="14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1">
        <f t="shared" si="239"/>
        <v>0</v>
      </c>
      <c r="BD194" s="1">
        <f t="shared" si="240"/>
        <v>0</v>
      </c>
      <c r="BE194" s="1">
        <f t="shared" si="241"/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f>MIN(N194:BN194:BN194)</f>
        <v>0</v>
      </c>
      <c r="BP194" s="2">
        <f t="shared" si="248"/>
        <v>0</v>
      </c>
      <c r="BQ194" s="22"/>
    </row>
    <row r="195" spans="1:69" ht="20.100000000000001" customHeight="1" x14ac:dyDescent="0.2">
      <c r="A195" s="17">
        <f t="shared" si="203"/>
        <v>193</v>
      </c>
      <c r="B195" s="24">
        <v>473</v>
      </c>
      <c r="C195" s="18" t="s">
        <v>64</v>
      </c>
      <c r="D195" s="19" t="s">
        <v>290</v>
      </c>
      <c r="E195" s="18" t="s">
        <v>291</v>
      </c>
      <c r="F195" s="8">
        <f>108411.83+H195</f>
        <v>125250.85</v>
      </c>
      <c r="G195" s="18" t="s">
        <v>64</v>
      </c>
      <c r="H195" s="10">
        <f>5613.00666666667*3</f>
        <v>16839.020000000011</v>
      </c>
      <c r="I195" s="24">
        <v>2</v>
      </c>
      <c r="J195" s="2">
        <f t="shared" ref="J195:J233" si="249">L195*1.3</f>
        <v>26522.826304000002</v>
      </c>
      <c r="K195" s="21" t="s">
        <v>249</v>
      </c>
      <c r="L195" s="1">
        <v>20402.174080000001</v>
      </c>
      <c r="M195" s="1">
        <v>12333.112230000001</v>
      </c>
      <c r="N195" s="1">
        <f>2.5124*10804.5</f>
        <v>27145.2258</v>
      </c>
      <c r="O195" s="1">
        <f t="shared" ref="O195:O233" si="250">L195</f>
        <v>20402.174080000001</v>
      </c>
      <c r="P195" s="2">
        <f>1.25*L195</f>
        <v>25502.7176</v>
      </c>
      <c r="Q195" s="1">
        <v>0</v>
      </c>
      <c r="R195" s="1">
        <v>0</v>
      </c>
      <c r="S195" s="2">
        <f t="shared" ref="S195:S233" si="251">L195</f>
        <v>20402.174080000001</v>
      </c>
      <c r="T195" s="1">
        <f>20561+H195</f>
        <v>37400.020000000011</v>
      </c>
      <c r="U195" s="1"/>
      <c r="V195" s="13">
        <f>2.5351*10568</f>
        <v>26790.936799999999</v>
      </c>
      <c r="W195" s="2">
        <f t="shared" ref="W195:W233" si="252">L195</f>
        <v>20402.174080000001</v>
      </c>
      <c r="X195" s="1">
        <f t="shared" ref="X195:X233" si="253">L195</f>
        <v>20402.174080000001</v>
      </c>
      <c r="Y195" s="1">
        <f t="shared" ref="Y195:Y233" si="254">L195</f>
        <v>20402.174080000001</v>
      </c>
      <c r="Z195" s="1">
        <f>2202*I195+H195*0.373</f>
        <v>10684.954460000004</v>
      </c>
      <c r="AA195" s="1">
        <f t="shared" ref="AA195:AA233" si="255">L195*0.95</f>
        <v>19382.065375999999</v>
      </c>
      <c r="AB195" s="1">
        <f t="shared" ref="AB195:AB208" si="256">L195*0.9</f>
        <v>18361.956672</v>
      </c>
      <c r="AC195" s="1">
        <v>0</v>
      </c>
      <c r="AD195" s="1">
        <v>0</v>
      </c>
      <c r="AE195" s="1">
        <f t="shared" ref="AE195:AE233" si="257">L195</f>
        <v>20402.174080000001</v>
      </c>
      <c r="AF195" s="1">
        <f t="shared" ref="AF195:AF233" si="258">L195</f>
        <v>20402.174080000001</v>
      </c>
      <c r="AG195" s="1">
        <v>0</v>
      </c>
      <c r="AH195" s="1">
        <f t="shared" ref="AH195:AH208" si="259">F195*0.7+H195*0.7</f>
        <v>99462.909000000014</v>
      </c>
      <c r="AI195" s="1">
        <f t="shared" ref="AI195:AI233" si="260">L195*1.1</f>
        <v>22442.391488000001</v>
      </c>
      <c r="AJ195" s="2">
        <f t="shared" ref="AJ195:AJ233" si="261">L195</f>
        <v>20402.174080000001</v>
      </c>
      <c r="AK195" s="1">
        <f t="shared" ref="AK195:AK208" si="262">L195*1.37</f>
        <v>27950.978489600002</v>
      </c>
      <c r="AL195" s="1">
        <f t="shared" ref="AL195:AL233" si="263">L195</f>
        <v>20402.174080000001</v>
      </c>
      <c r="AM195" s="1">
        <f t="shared" ref="AM195:AM233" si="264">L195</f>
        <v>20402.174080000001</v>
      </c>
      <c r="AN195" s="1">
        <f>L195*1.1</f>
        <v>22442.391488000001</v>
      </c>
      <c r="AO195" s="1">
        <f>L195</f>
        <v>20402.174080000001</v>
      </c>
      <c r="AP195" s="1">
        <f>M195</f>
        <v>12333.112230000001</v>
      </c>
      <c r="AQ195" s="1">
        <f t="shared" ref="AQ195:AQ233" si="265">L195</f>
        <v>20402.174080000001</v>
      </c>
      <c r="AR195" s="1">
        <f t="shared" ref="AR195:AR208" si="266">F195*0.5+H195*0.5</f>
        <v>71044.935000000012</v>
      </c>
      <c r="AS195" s="1">
        <f t="shared" ref="AS195:AS208" si="267">M195</f>
        <v>12333.112230000001</v>
      </c>
      <c r="AT195" s="1">
        <f t="shared" ref="AT195:AT233" si="268">L195</f>
        <v>20402.174080000001</v>
      </c>
      <c r="AU195" s="1">
        <v>25847.667358257604</v>
      </c>
      <c r="AV195" s="1">
        <f t="shared" ref="AV195:AV224" si="269">M195*1.1</f>
        <v>13566.423453000001</v>
      </c>
      <c r="AW195" s="1">
        <f t="shared" ref="AW195:AW233" si="270">L195</f>
        <v>20402.174080000001</v>
      </c>
      <c r="AX195" s="1">
        <f t="shared" ref="AX195:AX233" si="271">L195*0.95</f>
        <v>19382.065375999999</v>
      </c>
      <c r="AY195" s="1">
        <f t="shared" ref="AY195:AY202" si="272">L195*0.88</f>
        <v>17953.913190400002</v>
      </c>
      <c r="AZ195" s="1">
        <v>0</v>
      </c>
      <c r="BA195" s="1">
        <v>0</v>
      </c>
      <c r="BB195" s="1">
        <v>0</v>
      </c>
      <c r="BC195" s="1">
        <f t="shared" si="239"/>
        <v>20402.174080000001</v>
      </c>
      <c r="BD195" s="1">
        <f t="shared" si="240"/>
        <v>22442.391488000001</v>
      </c>
      <c r="BE195" s="1">
        <f t="shared" si="241"/>
        <v>18361.956672</v>
      </c>
      <c r="BF195" s="1">
        <v>0</v>
      </c>
      <c r="BG195" s="1">
        <v>0</v>
      </c>
      <c r="BH195" s="1">
        <v>0</v>
      </c>
      <c r="BI195" s="1">
        <f t="shared" ref="BI195:BI233" si="273">L195*1.2</f>
        <v>24482.608896000002</v>
      </c>
      <c r="BJ195" s="1">
        <f t="shared" ref="BJ195:BJ233" si="274">L195</f>
        <v>20402.174080000001</v>
      </c>
      <c r="BK195" s="1">
        <f t="shared" ref="BK195:BK233" si="275">L195*0.95</f>
        <v>19382.065375999999</v>
      </c>
      <c r="BL195" s="1">
        <f t="shared" ref="BL195:BL233" si="276">L195</f>
        <v>20402.174080000001</v>
      </c>
      <c r="BM195" s="1">
        <f>2.5351*9755+5613.00666666667*1.02</f>
        <v>30455.167300000001</v>
      </c>
      <c r="BN195" s="1">
        <f t="shared" ref="BN195:BN233" si="277">L195</f>
        <v>20402.174080000001</v>
      </c>
      <c r="BO195" s="1">
        <f t="shared" ref="BO195:BO218" si="278">MIN(N195:BN195)</f>
        <v>0</v>
      </c>
      <c r="BP195" s="1">
        <f t="shared" si="248"/>
        <v>99462.909000000014</v>
      </c>
      <c r="BQ195" s="22"/>
    </row>
    <row r="196" spans="1:69" ht="20.100000000000001" customHeight="1" x14ac:dyDescent="0.2">
      <c r="A196" s="17">
        <f t="shared" si="203"/>
        <v>194</v>
      </c>
      <c r="B196" s="24">
        <v>470</v>
      </c>
      <c r="C196" s="18" t="s">
        <v>64</v>
      </c>
      <c r="D196" s="19" t="s">
        <v>292</v>
      </c>
      <c r="E196" s="18" t="s">
        <v>291</v>
      </c>
      <c r="F196" s="8">
        <f>108411.83+H196</f>
        <v>125267.48000000001</v>
      </c>
      <c r="G196" s="18" t="s">
        <v>64</v>
      </c>
      <c r="H196" s="10">
        <f>5618.55*3</f>
        <v>16855.650000000001</v>
      </c>
      <c r="I196" s="24">
        <v>2</v>
      </c>
      <c r="J196" s="2">
        <f t="shared" si="249"/>
        <v>19894.246216000003</v>
      </c>
      <c r="K196" s="21" t="s">
        <v>249</v>
      </c>
      <c r="L196" s="1">
        <v>15303.266320000001</v>
      </c>
      <c r="M196" s="1">
        <v>16786.454058000003</v>
      </c>
      <c r="N196" s="1">
        <f>1.9684*10804.5</f>
        <v>21267.577799999999</v>
      </c>
      <c r="O196" s="1">
        <f t="shared" si="250"/>
        <v>15303.266320000001</v>
      </c>
      <c r="P196" s="2">
        <f>1.25*L196</f>
        <v>19129.082900000001</v>
      </c>
      <c r="Q196" s="1">
        <v>0</v>
      </c>
      <c r="R196" s="1">
        <v>0</v>
      </c>
      <c r="S196" s="2">
        <f t="shared" si="251"/>
        <v>15303.266320000001</v>
      </c>
      <c r="T196" s="1">
        <f>15096+17260</f>
        <v>32356</v>
      </c>
      <c r="U196" s="1"/>
      <c r="V196" s="13">
        <f>1.9119*10568</f>
        <v>20204.959199999998</v>
      </c>
      <c r="W196" s="2">
        <f t="shared" si="252"/>
        <v>15303.266320000001</v>
      </c>
      <c r="X196" s="1">
        <f t="shared" si="253"/>
        <v>15303.266320000001</v>
      </c>
      <c r="Y196" s="1">
        <f t="shared" si="254"/>
        <v>15303.266320000001</v>
      </c>
      <c r="Z196" s="1">
        <f>2202*I196+H196*0.373</f>
        <v>10691.157450000001</v>
      </c>
      <c r="AA196" s="1">
        <f t="shared" si="255"/>
        <v>14538.103004000001</v>
      </c>
      <c r="AB196" s="1">
        <f t="shared" si="256"/>
        <v>13772.939688</v>
      </c>
      <c r="AC196" s="1">
        <v>0</v>
      </c>
      <c r="AD196" s="1">
        <v>0</v>
      </c>
      <c r="AE196" s="1">
        <f t="shared" si="257"/>
        <v>15303.266320000001</v>
      </c>
      <c r="AF196" s="1">
        <f t="shared" si="258"/>
        <v>15303.266320000001</v>
      </c>
      <c r="AG196" s="1">
        <v>0</v>
      </c>
      <c r="AH196" s="1">
        <f t="shared" si="259"/>
        <v>99486.191000000006</v>
      </c>
      <c r="AI196" s="1">
        <f t="shared" si="260"/>
        <v>16833.592952000003</v>
      </c>
      <c r="AJ196" s="2">
        <f t="shared" si="261"/>
        <v>15303.266320000001</v>
      </c>
      <c r="AK196" s="1">
        <f t="shared" si="262"/>
        <v>20965.474858400001</v>
      </c>
      <c r="AL196" s="1">
        <f t="shared" si="263"/>
        <v>15303.266320000001</v>
      </c>
      <c r="AM196" s="1">
        <f t="shared" si="264"/>
        <v>15303.266320000001</v>
      </c>
      <c r="AN196" s="1">
        <v>18324</v>
      </c>
      <c r="AO196" s="1">
        <v>18324</v>
      </c>
      <c r="AP196" s="1">
        <f t="shared" ref="AP196:AP208" si="279">M196</f>
        <v>16786.454058000003</v>
      </c>
      <c r="AQ196" s="1">
        <f t="shared" si="265"/>
        <v>15303.266320000001</v>
      </c>
      <c r="AR196" s="1">
        <f t="shared" si="266"/>
        <v>71061.565000000002</v>
      </c>
      <c r="AS196" s="1">
        <f t="shared" si="267"/>
        <v>16786.454058000003</v>
      </c>
      <c r="AT196" s="1">
        <f t="shared" si="268"/>
        <v>15303.266320000001</v>
      </c>
      <c r="AU196" s="1">
        <v>19387.822875305403</v>
      </c>
      <c r="AV196" s="1">
        <f t="shared" si="269"/>
        <v>18465.099463800005</v>
      </c>
      <c r="AW196" s="1">
        <f t="shared" si="270"/>
        <v>15303.266320000001</v>
      </c>
      <c r="AX196" s="1">
        <f t="shared" si="271"/>
        <v>14538.103004000001</v>
      </c>
      <c r="AY196" s="1">
        <f t="shared" si="272"/>
        <v>13466.874361600001</v>
      </c>
      <c r="AZ196" s="1">
        <v>0</v>
      </c>
      <c r="BA196" s="1">
        <v>0</v>
      </c>
      <c r="BB196" s="1">
        <v>0</v>
      </c>
      <c r="BC196" s="1">
        <f t="shared" si="239"/>
        <v>15303.266320000001</v>
      </c>
      <c r="BD196" s="1">
        <f t="shared" si="240"/>
        <v>16833.592952000003</v>
      </c>
      <c r="BE196" s="1">
        <f t="shared" si="241"/>
        <v>13772.939688</v>
      </c>
      <c r="BF196" s="1">
        <v>0</v>
      </c>
      <c r="BG196" s="1">
        <v>0</v>
      </c>
      <c r="BH196" s="1">
        <v>0</v>
      </c>
      <c r="BI196" s="1">
        <f t="shared" si="273"/>
        <v>18363.919583999999</v>
      </c>
      <c r="BJ196" s="1">
        <f t="shared" si="274"/>
        <v>15303.266320000001</v>
      </c>
      <c r="BK196" s="1">
        <f t="shared" si="275"/>
        <v>14538.103004000001</v>
      </c>
      <c r="BL196" s="1">
        <f t="shared" si="276"/>
        <v>15303.266320000001</v>
      </c>
      <c r="BM196" s="1">
        <f>1.9119*9755+5618.55*1.02</f>
        <v>24381.505499999999</v>
      </c>
      <c r="BN196" s="1">
        <f t="shared" si="277"/>
        <v>15303.266320000001</v>
      </c>
      <c r="BO196" s="1">
        <f t="shared" si="278"/>
        <v>0</v>
      </c>
      <c r="BP196" s="1">
        <f t="shared" si="248"/>
        <v>99486.191000000006</v>
      </c>
      <c r="BQ196" s="22"/>
    </row>
    <row r="197" spans="1:69" ht="20.100000000000001" customHeight="1" x14ac:dyDescent="0.2">
      <c r="A197" s="17">
        <f t="shared" si="203"/>
        <v>195</v>
      </c>
      <c r="B197" s="24">
        <v>460</v>
      </c>
      <c r="C197" s="18" t="s">
        <v>64</v>
      </c>
      <c r="D197" s="19" t="s">
        <v>293</v>
      </c>
      <c r="E197" s="18" t="s">
        <v>291</v>
      </c>
      <c r="F197" s="8">
        <f>108411.83+H197</f>
        <v>146819.54707865181</v>
      </c>
      <c r="G197" s="18" t="s">
        <v>64</v>
      </c>
      <c r="H197" s="10">
        <f>12802.5723595506*3</f>
        <v>38407.717078651804</v>
      </c>
      <c r="I197" s="24">
        <v>3</v>
      </c>
      <c r="J197" s="2">
        <f t="shared" si="249"/>
        <v>40938.460160000002</v>
      </c>
      <c r="K197" s="21" t="s">
        <v>249</v>
      </c>
      <c r="L197" s="1">
        <v>31491.123200000002</v>
      </c>
      <c r="M197" s="1">
        <v>16360.941610000002</v>
      </c>
      <c r="N197" s="1">
        <f>3.9604*10804.5</f>
        <v>42790.141799999998</v>
      </c>
      <c r="O197" s="1">
        <f t="shared" si="250"/>
        <v>31491.123200000002</v>
      </c>
      <c r="P197" s="1">
        <f>F197*0.5</f>
        <v>73409.773539325906</v>
      </c>
      <c r="Q197" s="1">
        <v>0</v>
      </c>
      <c r="R197" s="1">
        <v>0</v>
      </c>
      <c r="S197" s="2">
        <f t="shared" si="251"/>
        <v>31491.123200000002</v>
      </c>
      <c r="T197" s="1">
        <f>20561+25701</f>
        <v>46262</v>
      </c>
      <c r="U197" s="1"/>
      <c r="V197" s="13">
        <f>3.766*10568</f>
        <v>39799.088000000003</v>
      </c>
      <c r="W197" s="2">
        <f t="shared" si="252"/>
        <v>31491.123200000002</v>
      </c>
      <c r="X197" s="1">
        <f t="shared" si="253"/>
        <v>31491.123200000002</v>
      </c>
      <c r="Y197" s="1">
        <f t="shared" si="254"/>
        <v>31491.123200000002</v>
      </c>
      <c r="Z197" s="1">
        <f>2202*I197+H197*0.373</f>
        <v>20932.078470337125</v>
      </c>
      <c r="AA197" s="1">
        <f t="shared" si="255"/>
        <v>29916.567040000002</v>
      </c>
      <c r="AB197" s="1">
        <f t="shared" si="256"/>
        <v>28342.010880000002</v>
      </c>
      <c r="AC197" s="1">
        <v>0</v>
      </c>
      <c r="AD197" s="1">
        <v>0</v>
      </c>
      <c r="AE197" s="1">
        <f t="shared" si="257"/>
        <v>31491.123200000002</v>
      </c>
      <c r="AF197" s="1">
        <f t="shared" si="258"/>
        <v>31491.123200000002</v>
      </c>
      <c r="AG197" s="1">
        <v>0</v>
      </c>
      <c r="AH197" s="1">
        <f t="shared" si="259"/>
        <v>129659.08491011253</v>
      </c>
      <c r="AI197" s="1">
        <f t="shared" si="260"/>
        <v>34640.235520000002</v>
      </c>
      <c r="AJ197" s="2">
        <f t="shared" si="261"/>
        <v>31491.123200000002</v>
      </c>
      <c r="AK197" s="1">
        <f t="shared" si="262"/>
        <v>43142.838784000007</v>
      </c>
      <c r="AL197" s="1">
        <f t="shared" si="263"/>
        <v>31491.123200000002</v>
      </c>
      <c r="AM197" s="1">
        <f t="shared" si="264"/>
        <v>31491.123200000002</v>
      </c>
      <c r="AN197" s="1">
        <f>L197*1.1</f>
        <v>34640.235520000002</v>
      </c>
      <c r="AO197" s="1">
        <f>L197</f>
        <v>31491.123200000002</v>
      </c>
      <c r="AP197" s="1">
        <f t="shared" si="279"/>
        <v>16360.941610000002</v>
      </c>
      <c r="AQ197" s="1">
        <f t="shared" si="265"/>
        <v>31491.123200000002</v>
      </c>
      <c r="AR197" s="1">
        <f t="shared" si="266"/>
        <v>92613.632078651804</v>
      </c>
      <c r="AS197" s="1">
        <f t="shared" si="267"/>
        <v>16360.941610000002</v>
      </c>
      <c r="AT197" s="1">
        <f t="shared" si="268"/>
        <v>31491.123200000002</v>
      </c>
      <c r="AU197" s="1">
        <v>25107.031054107356</v>
      </c>
      <c r="AV197" s="1">
        <f t="shared" si="269"/>
        <v>17997.035771000003</v>
      </c>
      <c r="AW197" s="1">
        <f t="shared" si="270"/>
        <v>31491.123200000002</v>
      </c>
      <c r="AX197" s="1">
        <f t="shared" si="271"/>
        <v>29916.567040000002</v>
      </c>
      <c r="AY197" s="1">
        <f t="shared" si="272"/>
        <v>27712.188416000001</v>
      </c>
      <c r="AZ197" s="1">
        <v>0</v>
      </c>
      <c r="BA197" s="1">
        <v>0</v>
      </c>
      <c r="BB197" s="1">
        <v>0</v>
      </c>
      <c r="BC197" s="1">
        <f t="shared" si="239"/>
        <v>31491.123200000002</v>
      </c>
      <c r="BD197" s="1">
        <f t="shared" si="240"/>
        <v>34640.235520000002</v>
      </c>
      <c r="BE197" s="1">
        <f t="shared" si="241"/>
        <v>28342.010880000002</v>
      </c>
      <c r="BF197" s="1">
        <v>0</v>
      </c>
      <c r="BG197" s="1">
        <v>0</v>
      </c>
      <c r="BH197" s="1">
        <v>0</v>
      </c>
      <c r="BI197" s="1">
        <f t="shared" si="273"/>
        <v>37789.347840000002</v>
      </c>
      <c r="BJ197" s="1">
        <f t="shared" si="274"/>
        <v>31491.123200000002</v>
      </c>
      <c r="BK197" s="1">
        <f t="shared" si="275"/>
        <v>29916.567040000002</v>
      </c>
      <c r="BL197" s="1">
        <f t="shared" si="276"/>
        <v>31491.123200000002</v>
      </c>
      <c r="BM197" s="1">
        <f>3.766*9755+12802.5723595506*1.02</f>
        <v>49795.953806741614</v>
      </c>
      <c r="BN197" s="1">
        <f t="shared" si="277"/>
        <v>31491.123200000002</v>
      </c>
      <c r="BO197" s="1">
        <f t="shared" si="278"/>
        <v>0</v>
      </c>
      <c r="BP197" s="1">
        <f t="shared" si="248"/>
        <v>129659.08491011253</v>
      </c>
      <c r="BQ197" s="22"/>
    </row>
    <row r="198" spans="1:69" ht="20.100000000000001" customHeight="1" x14ac:dyDescent="0.2">
      <c r="A198" s="17">
        <f t="shared" si="203"/>
        <v>196</v>
      </c>
      <c r="B198" s="17">
        <v>519</v>
      </c>
      <c r="C198" s="18" t="s">
        <v>64</v>
      </c>
      <c r="D198" s="19" t="s">
        <v>294</v>
      </c>
      <c r="E198" s="18" t="s">
        <v>291</v>
      </c>
      <c r="F198" s="8">
        <f>78833.3157142857+H198</f>
        <v>82506.770714285696</v>
      </c>
      <c r="G198" s="18" t="s">
        <v>64</v>
      </c>
      <c r="H198" s="10">
        <f>1224.485*3</f>
        <v>3673.4549999999999</v>
      </c>
      <c r="I198" s="24">
        <v>3</v>
      </c>
      <c r="J198" s="2">
        <f t="shared" si="249"/>
        <v>20492.608240000001</v>
      </c>
      <c r="K198" s="21" t="s">
        <v>249</v>
      </c>
      <c r="L198" s="1">
        <v>15763.5448</v>
      </c>
      <c r="M198" s="1">
        <v>35174.397349000006</v>
      </c>
      <c r="N198" s="1">
        <f>1.9087*10804.5</f>
        <v>20622.549149999999</v>
      </c>
      <c r="O198" s="1">
        <f t="shared" si="250"/>
        <v>15763.5448</v>
      </c>
      <c r="P198" s="2">
        <f>1.25*L198</f>
        <v>19704.431</v>
      </c>
      <c r="Q198" s="1">
        <v>0</v>
      </c>
      <c r="R198" s="1">
        <v>0</v>
      </c>
      <c r="S198" s="2">
        <f t="shared" si="251"/>
        <v>15763.5448</v>
      </c>
      <c r="T198" s="1">
        <f>12445+H198</f>
        <v>16118.455</v>
      </c>
      <c r="U198" s="1"/>
      <c r="V198" s="13">
        <f>1.9993*10568</f>
        <v>21128.6024</v>
      </c>
      <c r="W198" s="2">
        <f t="shared" si="252"/>
        <v>15763.5448</v>
      </c>
      <c r="X198" s="1">
        <f t="shared" si="253"/>
        <v>15763.5448</v>
      </c>
      <c r="Y198" s="1">
        <f t="shared" si="254"/>
        <v>15763.5448</v>
      </c>
      <c r="Z198" s="1">
        <f>2202*I198+H198*0.373</f>
        <v>7976.1987150000004</v>
      </c>
      <c r="AA198" s="1">
        <f t="shared" si="255"/>
        <v>14975.367559999999</v>
      </c>
      <c r="AB198" s="1">
        <f t="shared" si="256"/>
        <v>14187.19032</v>
      </c>
      <c r="AC198" s="1">
        <v>0</v>
      </c>
      <c r="AD198" s="1">
        <v>0</v>
      </c>
      <c r="AE198" s="1">
        <f t="shared" si="257"/>
        <v>15763.5448</v>
      </c>
      <c r="AF198" s="1">
        <f t="shared" si="258"/>
        <v>15763.5448</v>
      </c>
      <c r="AG198" s="1">
        <v>0</v>
      </c>
      <c r="AH198" s="1">
        <f t="shared" si="259"/>
        <v>60326.157999999981</v>
      </c>
      <c r="AI198" s="1">
        <f t="shared" si="260"/>
        <v>17339.899280000001</v>
      </c>
      <c r="AJ198" s="2">
        <f t="shared" si="261"/>
        <v>15763.5448</v>
      </c>
      <c r="AK198" s="1">
        <f t="shared" si="262"/>
        <v>21596.056376</v>
      </c>
      <c r="AL198" s="1">
        <f t="shared" si="263"/>
        <v>15763.5448</v>
      </c>
      <c r="AM198" s="1">
        <f t="shared" si="264"/>
        <v>15763.5448</v>
      </c>
      <c r="AN198" s="1">
        <f>L198*1.1</f>
        <v>17339.899280000001</v>
      </c>
      <c r="AO198" s="1">
        <f>L198</f>
        <v>15763.5448</v>
      </c>
      <c r="AP198" s="1">
        <f t="shared" si="279"/>
        <v>35174.397349000006</v>
      </c>
      <c r="AQ198" s="1">
        <f t="shared" si="265"/>
        <v>15763.5448</v>
      </c>
      <c r="AR198" s="1">
        <f t="shared" si="266"/>
        <v>43090.112857142849</v>
      </c>
      <c r="AS198" s="1">
        <f t="shared" si="267"/>
        <v>35174.397349000006</v>
      </c>
      <c r="AT198" s="1">
        <f t="shared" si="268"/>
        <v>15763.5448</v>
      </c>
      <c r="AU198" s="1">
        <v>10438.6653426375</v>
      </c>
      <c r="AV198" s="1">
        <f t="shared" si="269"/>
        <v>38691.837083900013</v>
      </c>
      <c r="AW198" s="1">
        <f t="shared" si="270"/>
        <v>15763.5448</v>
      </c>
      <c r="AX198" s="1">
        <f t="shared" si="271"/>
        <v>14975.367559999999</v>
      </c>
      <c r="AY198" s="1">
        <f t="shared" si="272"/>
        <v>13871.919424</v>
      </c>
      <c r="AZ198" s="1">
        <v>0</v>
      </c>
      <c r="BA198" s="1">
        <v>0</v>
      </c>
      <c r="BB198" s="1">
        <v>0</v>
      </c>
      <c r="BC198" s="1">
        <f t="shared" si="239"/>
        <v>15763.5448</v>
      </c>
      <c r="BD198" s="1">
        <f t="shared" si="240"/>
        <v>17339.899280000001</v>
      </c>
      <c r="BE198" s="1">
        <f t="shared" si="241"/>
        <v>14187.19032</v>
      </c>
      <c r="BF198" s="1">
        <v>0</v>
      </c>
      <c r="BG198" s="1">
        <v>0</v>
      </c>
      <c r="BH198" s="1">
        <v>0</v>
      </c>
      <c r="BI198" s="1">
        <f t="shared" si="273"/>
        <v>18916.25376</v>
      </c>
      <c r="BJ198" s="1">
        <f t="shared" si="274"/>
        <v>15763.5448</v>
      </c>
      <c r="BK198" s="1">
        <f t="shared" si="275"/>
        <v>14975.367559999999</v>
      </c>
      <c r="BL198" s="1">
        <f t="shared" si="276"/>
        <v>15763.5448</v>
      </c>
      <c r="BM198" s="1">
        <f>1.9993*9755+1224.485*1.02</f>
        <v>20752.146199999999</v>
      </c>
      <c r="BN198" s="1">
        <f t="shared" si="277"/>
        <v>15763.5448</v>
      </c>
      <c r="BO198" s="1">
        <f t="shared" si="278"/>
        <v>0</v>
      </c>
      <c r="BP198" s="1">
        <f t="shared" si="248"/>
        <v>60326.157999999981</v>
      </c>
      <c r="BQ198" s="22"/>
    </row>
    <row r="199" spans="1:69" ht="20.100000000000001" customHeight="1" x14ac:dyDescent="0.2">
      <c r="A199" s="17">
        <f t="shared" si="203"/>
        <v>197</v>
      </c>
      <c r="B199" s="17">
        <v>520</v>
      </c>
      <c r="C199" s="18" t="s">
        <v>64</v>
      </c>
      <c r="D199" s="19" t="s">
        <v>295</v>
      </c>
      <c r="E199" s="18" t="s">
        <v>291</v>
      </c>
      <c r="F199" s="8">
        <f>59891.9408695652+H199</f>
        <v>61999.440869565202</v>
      </c>
      <c r="G199" s="18" t="s">
        <v>64</v>
      </c>
      <c r="H199" s="10">
        <f>702.5*3</f>
        <v>2107.5</v>
      </c>
      <c r="I199" s="24">
        <v>2</v>
      </c>
      <c r="J199" s="2">
        <f t="shared" si="249"/>
        <v>14899.257984</v>
      </c>
      <c r="K199" s="21" t="s">
        <v>249</v>
      </c>
      <c r="L199" s="1">
        <v>11460.96768</v>
      </c>
      <c r="M199" s="1">
        <v>3889.9003050000001</v>
      </c>
      <c r="N199" s="1">
        <f>1.338*10804.5</f>
        <v>14456.421</v>
      </c>
      <c r="O199" s="1">
        <f t="shared" si="250"/>
        <v>11460.96768</v>
      </c>
      <c r="P199" s="2">
        <f>1.25*L199</f>
        <v>14326.2096</v>
      </c>
      <c r="Q199" s="1">
        <v>0</v>
      </c>
      <c r="R199" s="1">
        <v>0</v>
      </c>
      <c r="S199" s="2">
        <f t="shared" si="251"/>
        <v>11460.96768</v>
      </c>
      <c r="T199" s="1">
        <v>20561</v>
      </c>
      <c r="U199" s="1"/>
      <c r="V199" s="13">
        <f>1.4798*10568</f>
        <v>15638.526400000001</v>
      </c>
      <c r="W199" s="2">
        <f t="shared" si="252"/>
        <v>11460.96768</v>
      </c>
      <c r="X199" s="1">
        <f t="shared" si="253"/>
        <v>11460.96768</v>
      </c>
      <c r="Y199" s="1">
        <f t="shared" si="254"/>
        <v>11460.96768</v>
      </c>
      <c r="Z199" s="1">
        <f>2202*I199</f>
        <v>4404</v>
      </c>
      <c r="AA199" s="1">
        <f t="shared" si="255"/>
        <v>10887.919296</v>
      </c>
      <c r="AB199" s="1">
        <f t="shared" si="256"/>
        <v>10314.870912</v>
      </c>
      <c r="AC199" s="1">
        <v>0</v>
      </c>
      <c r="AD199" s="1">
        <v>0</v>
      </c>
      <c r="AE199" s="1">
        <f t="shared" si="257"/>
        <v>11460.96768</v>
      </c>
      <c r="AF199" s="1">
        <f t="shared" si="258"/>
        <v>11460.96768</v>
      </c>
      <c r="AG199" s="1">
        <v>0</v>
      </c>
      <c r="AH199" s="1">
        <f t="shared" si="259"/>
        <v>44874.858608695642</v>
      </c>
      <c r="AI199" s="1">
        <f t="shared" si="260"/>
        <v>12607.064448000001</v>
      </c>
      <c r="AJ199" s="2">
        <f t="shared" si="261"/>
        <v>11460.96768</v>
      </c>
      <c r="AK199" s="1">
        <f t="shared" si="262"/>
        <v>15701.525721600001</v>
      </c>
      <c r="AL199" s="1">
        <f t="shared" si="263"/>
        <v>11460.96768</v>
      </c>
      <c r="AM199" s="1">
        <f t="shared" si="264"/>
        <v>11460.96768</v>
      </c>
      <c r="AN199" s="1">
        <f>L199*1.1</f>
        <v>12607.064448000001</v>
      </c>
      <c r="AO199" s="1">
        <f>L199</f>
        <v>11460.96768</v>
      </c>
      <c r="AP199" s="1">
        <f t="shared" si="279"/>
        <v>3889.9003050000001</v>
      </c>
      <c r="AQ199" s="1">
        <f t="shared" si="265"/>
        <v>11460.96768</v>
      </c>
      <c r="AR199" s="1">
        <f t="shared" si="266"/>
        <v>32053.470434782601</v>
      </c>
      <c r="AS199" s="1">
        <f t="shared" si="267"/>
        <v>3889.9003050000001</v>
      </c>
      <c r="AT199" s="1">
        <f t="shared" si="268"/>
        <v>11460.96768</v>
      </c>
      <c r="AU199" s="1">
        <v>6814.9065937500009</v>
      </c>
      <c r="AV199" s="1">
        <f t="shared" si="269"/>
        <v>4278.8903355000002</v>
      </c>
      <c r="AW199" s="1">
        <f t="shared" si="270"/>
        <v>11460.96768</v>
      </c>
      <c r="AX199" s="1">
        <f t="shared" si="271"/>
        <v>10887.919296</v>
      </c>
      <c r="AY199" s="1">
        <f t="shared" si="272"/>
        <v>10085.651558399999</v>
      </c>
      <c r="AZ199" s="1">
        <v>0</v>
      </c>
      <c r="BA199" s="1">
        <v>0</v>
      </c>
      <c r="BB199" s="1">
        <v>0</v>
      </c>
      <c r="BC199" s="1">
        <f t="shared" si="239"/>
        <v>11460.96768</v>
      </c>
      <c r="BD199" s="1">
        <f t="shared" si="240"/>
        <v>12607.064448000001</v>
      </c>
      <c r="BE199" s="1">
        <f t="shared" si="241"/>
        <v>10314.870912</v>
      </c>
      <c r="BF199" s="1">
        <v>0</v>
      </c>
      <c r="BG199" s="1">
        <v>0</v>
      </c>
      <c r="BH199" s="1">
        <v>0</v>
      </c>
      <c r="BI199" s="1">
        <f t="shared" si="273"/>
        <v>13753.161215999999</v>
      </c>
      <c r="BJ199" s="1">
        <f t="shared" si="274"/>
        <v>11460.96768</v>
      </c>
      <c r="BK199" s="1">
        <f t="shared" si="275"/>
        <v>10887.919296</v>
      </c>
      <c r="BL199" s="1">
        <f t="shared" si="276"/>
        <v>11460.96768</v>
      </c>
      <c r="BM199" s="1">
        <f>1.4798*9755</f>
        <v>14435.449000000001</v>
      </c>
      <c r="BN199" s="1">
        <f t="shared" si="277"/>
        <v>11460.96768</v>
      </c>
      <c r="BO199" s="1">
        <f t="shared" si="278"/>
        <v>0</v>
      </c>
      <c r="BP199" s="1">
        <f t="shared" si="248"/>
        <v>44874.858608695642</v>
      </c>
      <c r="BQ199" s="22"/>
    </row>
    <row r="200" spans="1:69" ht="20.100000000000001" customHeight="1" x14ac:dyDescent="0.2">
      <c r="A200" s="17">
        <f t="shared" si="203"/>
        <v>198</v>
      </c>
      <c r="B200" s="17">
        <v>472</v>
      </c>
      <c r="C200" s="18" t="s">
        <v>64</v>
      </c>
      <c r="D200" s="19" t="s">
        <v>296</v>
      </c>
      <c r="E200" s="18" t="s">
        <v>291</v>
      </c>
      <c r="F200" s="8">
        <f>115607.527272727+H200</f>
        <v>137315.28191558417</v>
      </c>
      <c r="G200" s="18" t="s">
        <v>64</v>
      </c>
      <c r="H200" s="10">
        <f>7235.91821428572*3</f>
        <v>21707.754642857159</v>
      </c>
      <c r="I200" s="24">
        <v>3</v>
      </c>
      <c r="J200" s="2">
        <f t="shared" si="249"/>
        <v>31833.578192000004</v>
      </c>
      <c r="K200" s="21" t="s">
        <v>249</v>
      </c>
      <c r="L200" s="1">
        <v>24487.367840000003</v>
      </c>
      <c r="M200" s="1">
        <v>12562.550112000001</v>
      </c>
      <c r="N200" s="1">
        <f>0.8472*10804.5</f>
        <v>9153.5723999999991</v>
      </c>
      <c r="O200" s="1">
        <f t="shared" si="250"/>
        <v>24487.367840000003</v>
      </c>
      <c r="P200" s="2">
        <f>1.25*L200</f>
        <v>30609.209800000004</v>
      </c>
      <c r="Q200" s="1">
        <v>0</v>
      </c>
      <c r="R200" s="1">
        <v>0</v>
      </c>
      <c r="S200" s="2">
        <f t="shared" si="251"/>
        <v>24487.367840000003</v>
      </c>
      <c r="T200" s="1">
        <f>20561+H200</f>
        <v>42268.754642857159</v>
      </c>
      <c r="U200" s="1"/>
      <c r="V200" s="13">
        <f>3.071*10568</f>
        <v>32454.328000000001</v>
      </c>
      <c r="W200" s="2">
        <f t="shared" si="252"/>
        <v>24487.367840000003</v>
      </c>
      <c r="X200" s="1">
        <f t="shared" si="253"/>
        <v>24487.367840000003</v>
      </c>
      <c r="Y200" s="1">
        <f t="shared" si="254"/>
        <v>24487.367840000003</v>
      </c>
      <c r="Z200" s="1">
        <f t="shared" ref="Z200:Z208" si="280">2202*I200+H200*0.373</f>
        <v>14702.992481785721</v>
      </c>
      <c r="AA200" s="1">
        <f t="shared" si="255"/>
        <v>23262.999448000002</v>
      </c>
      <c r="AB200" s="1">
        <f t="shared" si="256"/>
        <v>22038.631056000002</v>
      </c>
      <c r="AC200" s="1">
        <v>0</v>
      </c>
      <c r="AD200" s="1">
        <v>0</v>
      </c>
      <c r="AE200" s="1">
        <f t="shared" si="257"/>
        <v>24487.367840000003</v>
      </c>
      <c r="AF200" s="1">
        <f t="shared" si="258"/>
        <v>24487.367840000003</v>
      </c>
      <c r="AG200" s="1">
        <v>0</v>
      </c>
      <c r="AH200" s="1">
        <f t="shared" si="259"/>
        <v>111316.12559090892</v>
      </c>
      <c r="AI200" s="1">
        <f t="shared" si="260"/>
        <v>26936.104624000003</v>
      </c>
      <c r="AJ200" s="2">
        <f t="shared" si="261"/>
        <v>24487.367840000003</v>
      </c>
      <c r="AK200" s="1">
        <f t="shared" si="262"/>
        <v>33547.693940800003</v>
      </c>
      <c r="AL200" s="1">
        <f t="shared" si="263"/>
        <v>24487.367840000003</v>
      </c>
      <c r="AM200" s="1">
        <f t="shared" si="264"/>
        <v>24487.367840000003</v>
      </c>
      <c r="AN200" s="1">
        <f>L200*1.1</f>
        <v>26936.104624000003</v>
      </c>
      <c r="AO200" s="1">
        <f>L200</f>
        <v>24487.367840000003</v>
      </c>
      <c r="AP200" s="1">
        <f t="shared" si="279"/>
        <v>12562.550112000001</v>
      </c>
      <c r="AQ200" s="1">
        <f t="shared" si="265"/>
        <v>24487.367840000003</v>
      </c>
      <c r="AR200" s="1">
        <f t="shared" si="266"/>
        <v>79511.518279220661</v>
      </c>
      <c r="AS200" s="1">
        <f t="shared" si="267"/>
        <v>12562.550112000001</v>
      </c>
      <c r="AT200" s="1">
        <f t="shared" si="268"/>
        <v>24487.367840000003</v>
      </c>
      <c r="AU200" s="1">
        <v>31023.229971754809</v>
      </c>
      <c r="AV200" s="1">
        <f t="shared" si="269"/>
        <v>13818.805123200002</v>
      </c>
      <c r="AW200" s="1">
        <f t="shared" si="270"/>
        <v>24487.367840000003</v>
      </c>
      <c r="AX200" s="1">
        <f t="shared" si="271"/>
        <v>23262.999448000002</v>
      </c>
      <c r="AY200" s="1">
        <f t="shared" si="272"/>
        <v>21548.883699200003</v>
      </c>
      <c r="AZ200" s="1">
        <v>0</v>
      </c>
      <c r="BA200" s="1">
        <v>0</v>
      </c>
      <c r="BB200" s="1">
        <v>0</v>
      </c>
      <c r="BC200" s="1">
        <f t="shared" si="239"/>
        <v>24487.367840000003</v>
      </c>
      <c r="BD200" s="1">
        <f t="shared" si="240"/>
        <v>26936.104624000003</v>
      </c>
      <c r="BE200" s="1">
        <f t="shared" si="241"/>
        <v>22038.631056000002</v>
      </c>
      <c r="BF200" s="1">
        <v>0</v>
      </c>
      <c r="BG200" s="1">
        <v>0</v>
      </c>
      <c r="BH200" s="1">
        <v>0</v>
      </c>
      <c r="BI200" s="1">
        <f t="shared" si="273"/>
        <v>29384.841408000004</v>
      </c>
      <c r="BJ200" s="1">
        <f t="shared" si="274"/>
        <v>24487.367840000003</v>
      </c>
      <c r="BK200" s="1">
        <f t="shared" si="275"/>
        <v>23262.999448000002</v>
      </c>
      <c r="BL200" s="1">
        <f t="shared" si="276"/>
        <v>24487.367840000003</v>
      </c>
      <c r="BM200" s="1">
        <f>3.071*9755+7235.91821428572*1.02</f>
        <v>37338.24157857144</v>
      </c>
      <c r="BN200" s="1">
        <f t="shared" si="277"/>
        <v>24487.367840000003</v>
      </c>
      <c r="BO200" s="1">
        <f t="shared" si="278"/>
        <v>0</v>
      </c>
      <c r="BP200" s="1">
        <f t="shared" si="248"/>
        <v>111316.12559090892</v>
      </c>
      <c r="BQ200" s="22"/>
    </row>
    <row r="201" spans="1:69" ht="20.100000000000001" customHeight="1" x14ac:dyDescent="0.2">
      <c r="A201" s="17">
        <f t="shared" si="203"/>
        <v>199</v>
      </c>
      <c r="B201" s="17">
        <v>469</v>
      </c>
      <c r="C201" s="18" t="s">
        <v>64</v>
      </c>
      <c r="D201" s="19" t="s">
        <v>297</v>
      </c>
      <c r="E201" s="18" t="s">
        <v>291</v>
      </c>
      <c r="F201" s="8">
        <f>126309.535625+H201</f>
        <v>143650.73348214288</v>
      </c>
      <c r="G201" s="18" t="s">
        <v>64</v>
      </c>
      <c r="H201" s="10">
        <f>5780.39928571429*3</f>
        <v>17341.19785714287</v>
      </c>
      <c r="I201" s="24">
        <v>3</v>
      </c>
      <c r="J201" s="2">
        <f t="shared" si="249"/>
        <v>32156.579832000003</v>
      </c>
      <c r="K201" s="21" t="s">
        <v>249</v>
      </c>
      <c r="L201" s="1">
        <v>24735.83064</v>
      </c>
      <c r="M201" s="1">
        <v>13564.561035000002</v>
      </c>
      <c r="N201" s="1">
        <f>3.1399*10804.5</f>
        <v>33925.049549999996</v>
      </c>
      <c r="O201" s="1">
        <f t="shared" si="250"/>
        <v>24735.83064</v>
      </c>
      <c r="P201" s="1">
        <f>F201*0.5</f>
        <v>71825.366741071441</v>
      </c>
      <c r="Q201" s="1">
        <v>0</v>
      </c>
      <c r="R201" s="1">
        <v>0</v>
      </c>
      <c r="S201" s="2">
        <f t="shared" si="251"/>
        <v>24735.83064</v>
      </c>
      <c r="T201" s="1">
        <f>14692+17260</f>
        <v>31952</v>
      </c>
      <c r="U201" s="1"/>
      <c r="V201" s="13">
        <f>3.2314*10568</f>
        <v>34149.4352</v>
      </c>
      <c r="W201" s="2">
        <f t="shared" si="252"/>
        <v>24735.83064</v>
      </c>
      <c r="X201" s="1">
        <f t="shared" si="253"/>
        <v>24735.83064</v>
      </c>
      <c r="Y201" s="1">
        <f t="shared" si="254"/>
        <v>24735.83064</v>
      </c>
      <c r="Z201" s="1">
        <f t="shared" si="280"/>
        <v>13074.266800714289</v>
      </c>
      <c r="AA201" s="1">
        <f t="shared" si="255"/>
        <v>23499.039107999997</v>
      </c>
      <c r="AB201" s="1">
        <f t="shared" si="256"/>
        <v>22262.247576000002</v>
      </c>
      <c r="AC201" s="1">
        <v>0</v>
      </c>
      <c r="AD201" s="1">
        <v>0</v>
      </c>
      <c r="AE201" s="1">
        <f t="shared" si="257"/>
        <v>24735.83064</v>
      </c>
      <c r="AF201" s="1">
        <f t="shared" si="258"/>
        <v>24735.83064</v>
      </c>
      <c r="AG201" s="1">
        <v>0</v>
      </c>
      <c r="AH201" s="1">
        <f t="shared" si="259"/>
        <v>112694.35193750002</v>
      </c>
      <c r="AI201" s="1">
        <f t="shared" si="260"/>
        <v>27209.413704000002</v>
      </c>
      <c r="AJ201" s="2">
        <f t="shared" si="261"/>
        <v>24735.83064</v>
      </c>
      <c r="AK201" s="1">
        <f t="shared" si="262"/>
        <v>33888.087976800001</v>
      </c>
      <c r="AL201" s="1">
        <f t="shared" si="263"/>
        <v>24735.83064</v>
      </c>
      <c r="AM201" s="1">
        <f t="shared" si="264"/>
        <v>24735.83064</v>
      </c>
      <c r="AN201" s="1">
        <v>18324</v>
      </c>
      <c r="AO201" s="1">
        <v>18324</v>
      </c>
      <c r="AP201" s="1">
        <f t="shared" si="279"/>
        <v>13564.561035000002</v>
      </c>
      <c r="AQ201" s="1">
        <f t="shared" si="265"/>
        <v>24735.83064</v>
      </c>
      <c r="AR201" s="1">
        <f t="shared" si="266"/>
        <v>80495.965669642872</v>
      </c>
      <c r="AS201" s="1">
        <f t="shared" si="267"/>
        <v>13564.561035000002</v>
      </c>
      <c r="AT201" s="1">
        <f t="shared" si="268"/>
        <v>24735.83064</v>
      </c>
      <c r="AU201" s="1">
        <v>31338.009356545801</v>
      </c>
      <c r="AV201" s="1">
        <f t="shared" si="269"/>
        <v>14921.017138500003</v>
      </c>
      <c r="AW201" s="1">
        <f t="shared" si="270"/>
        <v>24735.83064</v>
      </c>
      <c r="AX201" s="1">
        <f t="shared" si="271"/>
        <v>23499.039107999997</v>
      </c>
      <c r="AY201" s="1">
        <f t="shared" si="272"/>
        <v>21767.530963199999</v>
      </c>
      <c r="AZ201" s="1">
        <v>0</v>
      </c>
      <c r="BA201" s="1">
        <v>0</v>
      </c>
      <c r="BB201" s="1">
        <v>0</v>
      </c>
      <c r="BC201" s="1">
        <f t="shared" si="239"/>
        <v>24735.83064</v>
      </c>
      <c r="BD201" s="1">
        <f t="shared" si="240"/>
        <v>27209.413704000002</v>
      </c>
      <c r="BE201" s="1">
        <f t="shared" si="241"/>
        <v>22262.247576000002</v>
      </c>
      <c r="BF201" s="1">
        <v>0</v>
      </c>
      <c r="BG201" s="1">
        <v>0</v>
      </c>
      <c r="BH201" s="1">
        <v>0</v>
      </c>
      <c r="BI201" s="1">
        <f t="shared" si="273"/>
        <v>29682.996767999997</v>
      </c>
      <c r="BJ201" s="1">
        <f t="shared" si="274"/>
        <v>24735.83064</v>
      </c>
      <c r="BK201" s="1">
        <f t="shared" si="275"/>
        <v>23499.039107999997</v>
      </c>
      <c r="BL201" s="1">
        <f t="shared" si="276"/>
        <v>24735.83064</v>
      </c>
      <c r="BM201" s="1">
        <f>3.1399*9755+5780.39928571429*1.02</f>
        <v>36525.731771428575</v>
      </c>
      <c r="BN201" s="1">
        <f t="shared" si="277"/>
        <v>24735.83064</v>
      </c>
      <c r="BO201" s="1">
        <f t="shared" si="278"/>
        <v>0</v>
      </c>
      <c r="BP201" s="1">
        <f t="shared" si="248"/>
        <v>112694.35193750002</v>
      </c>
      <c r="BQ201" s="22"/>
    </row>
    <row r="202" spans="1:69" ht="20.100000000000001" customHeight="1" x14ac:dyDescent="0.2">
      <c r="A202" s="17">
        <f t="shared" si="203"/>
        <v>200</v>
      </c>
      <c r="B202" s="17">
        <v>483</v>
      </c>
      <c r="C202" s="18" t="s">
        <v>64</v>
      </c>
      <c r="D202" s="19" t="s">
        <v>298</v>
      </c>
      <c r="E202" s="18" t="s">
        <v>291</v>
      </c>
      <c r="F202" s="8">
        <f>110438.600909091+H202</f>
        <v>145150.0084090911</v>
      </c>
      <c r="G202" s="18" t="s">
        <v>64</v>
      </c>
      <c r="H202" s="10">
        <f>11570.4691666667*3</f>
        <v>34711.407500000103</v>
      </c>
      <c r="I202" s="24">
        <v>1</v>
      </c>
      <c r="J202" s="2">
        <f t="shared" si="249"/>
        <v>24929.611304000002</v>
      </c>
      <c r="K202" s="21" t="s">
        <v>249</v>
      </c>
      <c r="L202" s="1">
        <v>19176.624080000001</v>
      </c>
      <c r="M202" s="1">
        <v>6271.5524330000007</v>
      </c>
      <c r="N202" s="1">
        <f>2.3921*10804.5</f>
        <v>25845.444450000003</v>
      </c>
      <c r="O202" s="1">
        <f t="shared" si="250"/>
        <v>19176.624080000001</v>
      </c>
      <c r="P202" s="1">
        <f>F202*0.5</f>
        <v>72575.004204545548</v>
      </c>
      <c r="Q202" s="1">
        <v>0</v>
      </c>
      <c r="R202" s="1">
        <v>0</v>
      </c>
      <c r="S202" s="2">
        <f t="shared" si="251"/>
        <v>19176.624080000001</v>
      </c>
      <c r="T202" s="1">
        <f>12445+7710</f>
        <v>20155</v>
      </c>
      <c r="U202" s="1"/>
      <c r="V202" s="13">
        <f>2.3576*10568</f>
        <v>24915.1168</v>
      </c>
      <c r="W202" s="2">
        <f t="shared" si="252"/>
        <v>19176.624080000001</v>
      </c>
      <c r="X202" s="1">
        <f t="shared" si="253"/>
        <v>19176.624080000001</v>
      </c>
      <c r="Y202" s="1">
        <f t="shared" si="254"/>
        <v>19176.624080000001</v>
      </c>
      <c r="Z202" s="1">
        <f t="shared" si="280"/>
        <v>15149.354997500039</v>
      </c>
      <c r="AA202" s="1">
        <f t="shared" si="255"/>
        <v>18217.792876</v>
      </c>
      <c r="AB202" s="1">
        <f t="shared" si="256"/>
        <v>17258.961672000001</v>
      </c>
      <c r="AC202" s="1">
        <v>0</v>
      </c>
      <c r="AD202" s="1">
        <v>0</v>
      </c>
      <c r="AE202" s="1">
        <f t="shared" si="257"/>
        <v>19176.624080000001</v>
      </c>
      <c r="AF202" s="1">
        <f t="shared" si="258"/>
        <v>19176.624080000001</v>
      </c>
      <c r="AG202" s="1">
        <v>0</v>
      </c>
      <c r="AH202" s="1">
        <f t="shared" si="259"/>
        <v>125902.99113636384</v>
      </c>
      <c r="AI202" s="1">
        <f t="shared" si="260"/>
        <v>21094.286488000002</v>
      </c>
      <c r="AJ202" s="2">
        <f t="shared" si="261"/>
        <v>19176.624080000001</v>
      </c>
      <c r="AK202" s="1">
        <f t="shared" si="262"/>
        <v>26271.974989600003</v>
      </c>
      <c r="AL202" s="1">
        <f t="shared" si="263"/>
        <v>19176.624080000001</v>
      </c>
      <c r="AM202" s="1">
        <f t="shared" si="264"/>
        <v>19176.624080000001</v>
      </c>
      <c r="AN202" s="1">
        <f>3500+11570.4691666667*0.05+11570.4691666667</f>
        <v>15648.992625000035</v>
      </c>
      <c r="AO202" s="1">
        <f>3500+11570.4691666667*0.05+11570.4691666667</f>
        <v>15648.992625000035</v>
      </c>
      <c r="AP202" s="1">
        <f t="shared" si="279"/>
        <v>6271.5524330000007</v>
      </c>
      <c r="AQ202" s="1">
        <f t="shared" si="265"/>
        <v>19176.624080000001</v>
      </c>
      <c r="AR202" s="1">
        <f t="shared" si="266"/>
        <v>89930.707954545593</v>
      </c>
      <c r="AS202" s="1">
        <f t="shared" si="267"/>
        <v>6271.5524330000007</v>
      </c>
      <c r="AT202" s="1">
        <f t="shared" si="268"/>
        <v>19176.624080000001</v>
      </c>
      <c r="AU202" s="1">
        <v>17621.166203268796</v>
      </c>
      <c r="AV202" s="1">
        <f t="shared" si="269"/>
        <v>6898.7076763000014</v>
      </c>
      <c r="AW202" s="1">
        <f t="shared" si="270"/>
        <v>19176.624080000001</v>
      </c>
      <c r="AX202" s="1">
        <f t="shared" si="271"/>
        <v>18217.792876</v>
      </c>
      <c r="AY202" s="1">
        <f t="shared" si="272"/>
        <v>16875.429190400002</v>
      </c>
      <c r="AZ202" s="1">
        <v>0</v>
      </c>
      <c r="BA202" s="1">
        <v>0</v>
      </c>
      <c r="BB202" s="1">
        <v>0</v>
      </c>
      <c r="BC202" s="1">
        <f t="shared" si="239"/>
        <v>19176.624080000001</v>
      </c>
      <c r="BD202" s="1">
        <f t="shared" si="240"/>
        <v>21094.286488000002</v>
      </c>
      <c r="BE202" s="1">
        <f t="shared" si="241"/>
        <v>17258.961672000001</v>
      </c>
      <c r="BF202" s="1">
        <v>0</v>
      </c>
      <c r="BG202" s="1">
        <v>0</v>
      </c>
      <c r="BH202" s="1">
        <v>0</v>
      </c>
      <c r="BI202" s="1">
        <f t="shared" si="273"/>
        <v>23011.948896000002</v>
      </c>
      <c r="BJ202" s="1">
        <f t="shared" si="274"/>
        <v>19176.624080000001</v>
      </c>
      <c r="BK202" s="1">
        <f t="shared" si="275"/>
        <v>18217.792876</v>
      </c>
      <c r="BL202" s="1">
        <f t="shared" si="276"/>
        <v>19176.624080000001</v>
      </c>
      <c r="BM202" s="1">
        <f>4660+11570.4691666667*1.02</f>
        <v>16461.878550000034</v>
      </c>
      <c r="BN202" s="1">
        <f t="shared" si="277"/>
        <v>19176.624080000001</v>
      </c>
      <c r="BO202" s="1">
        <f t="shared" si="278"/>
        <v>0</v>
      </c>
      <c r="BP202" s="1">
        <f t="shared" si="248"/>
        <v>125902.99113636384</v>
      </c>
      <c r="BQ202" s="22"/>
    </row>
    <row r="203" spans="1:69" ht="20.100000000000001" customHeight="1" x14ac:dyDescent="0.2">
      <c r="A203" s="17">
        <f t="shared" ref="A203:A266" si="281">A202+1</f>
        <v>201</v>
      </c>
      <c r="B203" s="24">
        <v>25</v>
      </c>
      <c r="C203" s="18" t="s">
        <v>64</v>
      </c>
      <c r="D203" s="19" t="s">
        <v>299</v>
      </c>
      <c r="E203" s="18" t="s">
        <v>291</v>
      </c>
      <c r="F203" s="8">
        <f>144171.897142857+H203</f>
        <v>152385.035142857</v>
      </c>
      <c r="G203" s="18" t="s">
        <v>64</v>
      </c>
      <c r="H203" s="10">
        <f>2737.71266666667*3</f>
        <v>8213.1380000000099</v>
      </c>
      <c r="I203" s="24">
        <v>7</v>
      </c>
      <c r="J203" s="2">
        <f t="shared" si="249"/>
        <v>46726.90578400001</v>
      </c>
      <c r="K203" s="21" t="s">
        <v>249</v>
      </c>
      <c r="L203" s="1">
        <v>35943.773680000006</v>
      </c>
      <c r="M203" s="1">
        <v>12631.159188000001</v>
      </c>
      <c r="N203" s="1">
        <f>4.3945*10804.5</f>
        <v>47480.375249999997</v>
      </c>
      <c r="O203" s="2">
        <f t="shared" si="250"/>
        <v>35943.773680000006</v>
      </c>
      <c r="P203" s="1">
        <f>F203*0.5</f>
        <v>76192.5175714285</v>
      </c>
      <c r="Q203" s="1">
        <v>0</v>
      </c>
      <c r="R203" s="1">
        <v>0</v>
      </c>
      <c r="S203" s="2">
        <f t="shared" si="251"/>
        <v>35943.773680000006</v>
      </c>
      <c r="T203" s="1">
        <f>34087+H203</f>
        <v>42300.138000000006</v>
      </c>
      <c r="U203" s="1"/>
      <c r="V203" s="13">
        <f>4.5405*10568</f>
        <v>47984.004000000001</v>
      </c>
      <c r="W203" s="2">
        <f t="shared" si="252"/>
        <v>35943.773680000006</v>
      </c>
      <c r="X203" s="1">
        <f t="shared" si="253"/>
        <v>35943.773680000006</v>
      </c>
      <c r="Y203" s="1">
        <f t="shared" si="254"/>
        <v>35943.773680000006</v>
      </c>
      <c r="Z203" s="1">
        <f t="shared" si="280"/>
        <v>18477.500474000004</v>
      </c>
      <c r="AA203" s="1">
        <f t="shared" si="255"/>
        <v>34146.584996000005</v>
      </c>
      <c r="AB203" s="1">
        <f t="shared" si="256"/>
        <v>32349.396312000004</v>
      </c>
      <c r="AC203" s="1">
        <v>0</v>
      </c>
      <c r="AD203" s="1">
        <v>0</v>
      </c>
      <c r="AE203" s="1">
        <f t="shared" si="257"/>
        <v>35943.773680000006</v>
      </c>
      <c r="AF203" s="1">
        <f t="shared" si="258"/>
        <v>35943.773680000006</v>
      </c>
      <c r="AG203" s="1">
        <v>0</v>
      </c>
      <c r="AH203" s="1">
        <f t="shared" si="259"/>
        <v>112418.7211999999</v>
      </c>
      <c r="AI203" s="1">
        <f t="shared" si="260"/>
        <v>39538.151048000007</v>
      </c>
      <c r="AJ203" s="2">
        <f t="shared" si="261"/>
        <v>35943.773680000006</v>
      </c>
      <c r="AK203" s="1">
        <f t="shared" si="262"/>
        <v>49242.969941600015</v>
      </c>
      <c r="AL203" s="1">
        <f t="shared" si="263"/>
        <v>35943.773680000006</v>
      </c>
      <c r="AM203" s="1">
        <f t="shared" si="264"/>
        <v>35943.773680000006</v>
      </c>
      <c r="AN203" s="2">
        <f t="shared" ref="AN203:AN208" si="282">L203*1.1</f>
        <v>39538.151048000007</v>
      </c>
      <c r="AO203" s="2">
        <f t="shared" ref="AO203:AO233" si="283">L203</f>
        <v>35943.773680000006</v>
      </c>
      <c r="AP203" s="2">
        <f t="shared" si="279"/>
        <v>12631.159188000001</v>
      </c>
      <c r="AQ203" s="1">
        <f t="shared" si="265"/>
        <v>35943.773680000006</v>
      </c>
      <c r="AR203" s="1">
        <f t="shared" si="266"/>
        <v>80299.086571428503</v>
      </c>
      <c r="AS203" s="1">
        <f t="shared" si="267"/>
        <v>12631.159188000001</v>
      </c>
      <c r="AT203" s="1">
        <f t="shared" si="268"/>
        <v>35943.773680000006</v>
      </c>
      <c r="AU203" s="1">
        <v>33883.826548416087</v>
      </c>
      <c r="AV203" s="2">
        <f t="shared" si="269"/>
        <v>13894.275106800003</v>
      </c>
      <c r="AW203" s="1">
        <f t="shared" si="270"/>
        <v>35943.773680000006</v>
      </c>
      <c r="AX203" s="1">
        <f t="shared" si="271"/>
        <v>34146.584996000005</v>
      </c>
      <c r="AY203" s="2" t="str">
        <f>CONCATENATE(ROUND(L203*0.88,2)," ",K203)</f>
        <v>31630.52 IPPS</v>
      </c>
      <c r="AZ203" s="1">
        <v>0</v>
      </c>
      <c r="BA203" s="1">
        <v>0</v>
      </c>
      <c r="BB203" s="1">
        <v>0</v>
      </c>
      <c r="BC203" s="1">
        <f t="shared" si="239"/>
        <v>35943.773680000006</v>
      </c>
      <c r="BD203" s="1">
        <f t="shared" si="240"/>
        <v>39538.151048000007</v>
      </c>
      <c r="BE203" s="1">
        <f t="shared" si="241"/>
        <v>32349.396312000004</v>
      </c>
      <c r="BF203" s="1">
        <v>0</v>
      </c>
      <c r="BG203" s="1">
        <v>0</v>
      </c>
      <c r="BH203" s="1">
        <v>0</v>
      </c>
      <c r="BI203" s="2">
        <f t="shared" si="273"/>
        <v>43132.528416000008</v>
      </c>
      <c r="BJ203" s="1">
        <f t="shared" si="274"/>
        <v>35943.773680000006</v>
      </c>
      <c r="BK203" s="2">
        <f t="shared" si="275"/>
        <v>34146.584996000005</v>
      </c>
      <c r="BL203" s="1">
        <f t="shared" si="276"/>
        <v>35943.773680000006</v>
      </c>
      <c r="BM203" s="1">
        <f>4.5405*9755+2737.71266666667*1.02</f>
        <v>47085.044420000006</v>
      </c>
      <c r="BN203" s="1">
        <f t="shared" si="277"/>
        <v>35943.773680000006</v>
      </c>
      <c r="BO203" s="2">
        <f t="shared" si="278"/>
        <v>0</v>
      </c>
      <c r="BP203" s="2">
        <f t="shared" si="248"/>
        <v>112418.7211999999</v>
      </c>
      <c r="BQ203" s="22"/>
    </row>
    <row r="204" spans="1:69" ht="20.100000000000001" customHeight="1" x14ac:dyDescent="0.2">
      <c r="A204" s="17">
        <f t="shared" si="281"/>
        <v>202</v>
      </c>
      <c r="B204" s="24">
        <v>27</v>
      </c>
      <c r="C204" s="18" t="s">
        <v>64</v>
      </c>
      <c r="D204" s="19" t="s">
        <v>300</v>
      </c>
      <c r="E204" s="18" t="s">
        <v>291</v>
      </c>
      <c r="F204" s="8">
        <f>91577.3971428571+H204</f>
        <v>98608.035142857087</v>
      </c>
      <c r="G204" s="18" t="s">
        <v>64</v>
      </c>
      <c r="H204" s="10">
        <f>2343.546*3</f>
        <v>7030.637999999999</v>
      </c>
      <c r="I204" s="24">
        <v>2</v>
      </c>
      <c r="J204" s="2">
        <f t="shared" si="249"/>
        <v>26229.701160000004</v>
      </c>
      <c r="K204" s="21" t="s">
        <v>249</v>
      </c>
      <c r="L204" s="1">
        <v>20176.693200000002</v>
      </c>
      <c r="M204" s="1">
        <v>14407.014803</v>
      </c>
      <c r="N204" s="1">
        <f>2.3967*10804.5</f>
        <v>25895.14515</v>
      </c>
      <c r="O204" s="2">
        <f t="shared" si="250"/>
        <v>20176.693200000002</v>
      </c>
      <c r="P204" s="2">
        <f>1.25*L204</f>
        <v>25220.866500000004</v>
      </c>
      <c r="Q204" s="1">
        <v>0</v>
      </c>
      <c r="R204" s="1">
        <v>0</v>
      </c>
      <c r="S204" s="2">
        <f t="shared" si="251"/>
        <v>20176.693200000002</v>
      </c>
      <c r="T204" s="1">
        <f>34087+H204</f>
        <v>41117.637999999999</v>
      </c>
      <c r="U204" s="1"/>
      <c r="V204" s="13">
        <f>2.4954*10568</f>
        <v>26371.387200000001</v>
      </c>
      <c r="W204" s="2">
        <f t="shared" si="252"/>
        <v>20176.693200000002</v>
      </c>
      <c r="X204" s="1">
        <f t="shared" si="253"/>
        <v>20176.693200000002</v>
      </c>
      <c r="Y204" s="1">
        <f t="shared" si="254"/>
        <v>20176.693200000002</v>
      </c>
      <c r="Z204" s="1">
        <f t="shared" si="280"/>
        <v>7026.4279740000002</v>
      </c>
      <c r="AA204" s="1">
        <f t="shared" si="255"/>
        <v>19167.858540000001</v>
      </c>
      <c r="AB204" s="1">
        <f t="shared" si="256"/>
        <v>18159.023880000001</v>
      </c>
      <c r="AC204" s="1">
        <v>0</v>
      </c>
      <c r="AD204" s="1">
        <v>0</v>
      </c>
      <c r="AE204" s="1">
        <f t="shared" si="257"/>
        <v>20176.693200000002</v>
      </c>
      <c r="AF204" s="1">
        <f t="shared" si="258"/>
        <v>20176.693200000002</v>
      </c>
      <c r="AG204" s="1">
        <v>0</v>
      </c>
      <c r="AH204" s="1">
        <f t="shared" si="259"/>
        <v>73947.071199999948</v>
      </c>
      <c r="AI204" s="1">
        <f t="shared" si="260"/>
        <v>22194.362520000002</v>
      </c>
      <c r="AJ204" s="2">
        <f t="shared" si="261"/>
        <v>20176.693200000002</v>
      </c>
      <c r="AK204" s="1">
        <f t="shared" si="262"/>
        <v>27642.069684000006</v>
      </c>
      <c r="AL204" s="1">
        <f t="shared" si="263"/>
        <v>20176.693200000002</v>
      </c>
      <c r="AM204" s="1">
        <f t="shared" si="264"/>
        <v>20176.693200000002</v>
      </c>
      <c r="AN204" s="2">
        <f t="shared" si="282"/>
        <v>22194.362520000002</v>
      </c>
      <c r="AO204" s="2">
        <f t="shared" si="283"/>
        <v>20176.693200000002</v>
      </c>
      <c r="AP204" s="2">
        <f t="shared" si="279"/>
        <v>14407.014803</v>
      </c>
      <c r="AQ204" s="1">
        <f t="shared" si="265"/>
        <v>20176.693200000002</v>
      </c>
      <c r="AR204" s="1">
        <f t="shared" si="266"/>
        <v>52819.336571428546</v>
      </c>
      <c r="AS204" s="1">
        <f t="shared" si="267"/>
        <v>14407.014803</v>
      </c>
      <c r="AT204" s="1">
        <f t="shared" si="268"/>
        <v>20176.693200000002</v>
      </c>
      <c r="AU204" s="1">
        <v>8893.960078995</v>
      </c>
      <c r="AV204" s="2">
        <f t="shared" si="269"/>
        <v>15847.716283300002</v>
      </c>
      <c r="AW204" s="1">
        <f t="shared" si="270"/>
        <v>20176.693200000002</v>
      </c>
      <c r="AX204" s="1">
        <f t="shared" si="271"/>
        <v>19167.858540000001</v>
      </c>
      <c r="AY204" s="2" t="str">
        <f>CONCATENATE(ROUND(L204*0.88,2)," ",K204)</f>
        <v>17755.49 IPPS</v>
      </c>
      <c r="AZ204" s="1">
        <v>0</v>
      </c>
      <c r="BA204" s="1">
        <v>0</v>
      </c>
      <c r="BB204" s="1">
        <v>0</v>
      </c>
      <c r="BC204" s="1">
        <f t="shared" si="239"/>
        <v>20176.693200000002</v>
      </c>
      <c r="BD204" s="1">
        <f t="shared" si="240"/>
        <v>22194.362520000002</v>
      </c>
      <c r="BE204" s="1">
        <f t="shared" si="241"/>
        <v>18159.023880000001</v>
      </c>
      <c r="BF204" s="1">
        <v>0</v>
      </c>
      <c r="BG204" s="1">
        <v>0</v>
      </c>
      <c r="BH204" s="1">
        <v>0</v>
      </c>
      <c r="BI204" s="2">
        <f t="shared" si="273"/>
        <v>24212.03184</v>
      </c>
      <c r="BJ204" s="1">
        <f t="shared" si="274"/>
        <v>20176.693200000002</v>
      </c>
      <c r="BK204" s="2">
        <f t="shared" si="275"/>
        <v>19167.858540000001</v>
      </c>
      <c r="BL204" s="1">
        <f t="shared" si="276"/>
        <v>20176.693200000002</v>
      </c>
      <c r="BM204" s="1">
        <f>2.4954*9755+2343.546*1.02</f>
        <v>26733.04392</v>
      </c>
      <c r="BN204" s="1">
        <f t="shared" si="277"/>
        <v>20176.693200000002</v>
      </c>
      <c r="BO204" s="2">
        <f t="shared" si="278"/>
        <v>0</v>
      </c>
      <c r="BP204" s="2">
        <f t="shared" si="248"/>
        <v>73947.071199999948</v>
      </c>
      <c r="BQ204" s="22"/>
    </row>
    <row r="205" spans="1:69" ht="20.100000000000001" customHeight="1" x14ac:dyDescent="0.2">
      <c r="A205" s="17">
        <f t="shared" si="281"/>
        <v>203</v>
      </c>
      <c r="B205" s="24">
        <v>517</v>
      </c>
      <c r="C205" s="18" t="s">
        <v>64</v>
      </c>
      <c r="D205" s="19" t="s">
        <v>301</v>
      </c>
      <c r="E205" s="18" t="s">
        <v>291</v>
      </c>
      <c r="F205" s="8">
        <f>52474.9214285714+H205</f>
        <v>61685.449428571395</v>
      </c>
      <c r="G205" s="18" t="s">
        <v>64</v>
      </c>
      <c r="H205" s="10">
        <f>3070.176*3</f>
        <v>9210.5280000000002</v>
      </c>
      <c r="I205" s="24">
        <v>2</v>
      </c>
      <c r="J205" s="2">
        <f t="shared" si="249"/>
        <v>14685.433672000001</v>
      </c>
      <c r="K205" s="21" t="s">
        <v>249</v>
      </c>
      <c r="L205" s="1">
        <v>11296.487440000001</v>
      </c>
      <c r="M205" s="1">
        <v>7384.2871100000002</v>
      </c>
      <c r="N205" s="1">
        <f>2.0517*10804.5</f>
        <v>22167.592649999999</v>
      </c>
      <c r="O205" s="2">
        <f t="shared" si="250"/>
        <v>11296.487440000001</v>
      </c>
      <c r="P205" s="2">
        <f>1.25*L205</f>
        <v>14120.6093</v>
      </c>
      <c r="Q205" s="1">
        <v>0</v>
      </c>
      <c r="R205" s="1">
        <v>0</v>
      </c>
      <c r="S205" s="2">
        <f t="shared" si="251"/>
        <v>11296.487440000001</v>
      </c>
      <c r="T205" s="1">
        <f>3950*I205+H205</f>
        <v>17110.527999999998</v>
      </c>
      <c r="U205" s="1"/>
      <c r="V205" s="13">
        <f>1.5099*10568</f>
        <v>15956.6232</v>
      </c>
      <c r="W205" s="2">
        <f t="shared" si="252"/>
        <v>11296.487440000001</v>
      </c>
      <c r="X205" s="1">
        <f t="shared" si="253"/>
        <v>11296.487440000001</v>
      </c>
      <c r="Y205" s="1">
        <f t="shared" si="254"/>
        <v>11296.487440000001</v>
      </c>
      <c r="Z205" s="1">
        <f t="shared" si="280"/>
        <v>7839.5269440000002</v>
      </c>
      <c r="AA205" s="1">
        <f t="shared" si="255"/>
        <v>10731.663068</v>
      </c>
      <c r="AB205" s="1">
        <f t="shared" si="256"/>
        <v>10166.838696000001</v>
      </c>
      <c r="AC205" s="1">
        <v>0</v>
      </c>
      <c r="AD205" s="1">
        <v>0</v>
      </c>
      <c r="AE205" s="1">
        <f t="shared" si="257"/>
        <v>11296.487440000001</v>
      </c>
      <c r="AF205" s="1">
        <f t="shared" si="258"/>
        <v>11296.487440000001</v>
      </c>
      <c r="AG205" s="1">
        <v>0</v>
      </c>
      <c r="AH205" s="1">
        <f t="shared" si="259"/>
        <v>49627.184199999974</v>
      </c>
      <c r="AI205" s="1">
        <f t="shared" si="260"/>
        <v>12426.136184000003</v>
      </c>
      <c r="AJ205" s="2">
        <f t="shared" si="261"/>
        <v>11296.487440000001</v>
      </c>
      <c r="AK205" s="1">
        <f t="shared" si="262"/>
        <v>15476.187792800003</v>
      </c>
      <c r="AL205" s="1">
        <f t="shared" si="263"/>
        <v>11296.487440000001</v>
      </c>
      <c r="AM205" s="1">
        <f t="shared" si="264"/>
        <v>11296.487440000001</v>
      </c>
      <c r="AN205" s="2">
        <f t="shared" si="282"/>
        <v>12426.136184000003</v>
      </c>
      <c r="AO205" s="2">
        <f t="shared" si="283"/>
        <v>11296.487440000001</v>
      </c>
      <c r="AP205" s="2">
        <f t="shared" si="279"/>
        <v>7384.2871100000002</v>
      </c>
      <c r="AQ205" s="1">
        <f t="shared" si="265"/>
        <v>11296.487440000001</v>
      </c>
      <c r="AR205" s="1">
        <f t="shared" si="266"/>
        <v>35447.988714285697</v>
      </c>
      <c r="AS205" s="1">
        <f t="shared" si="267"/>
        <v>7384.2871100000002</v>
      </c>
      <c r="AT205" s="1">
        <f t="shared" si="268"/>
        <v>11296.487440000001</v>
      </c>
      <c r="AU205" s="1">
        <v>9814.5330757200009</v>
      </c>
      <c r="AV205" s="2">
        <f t="shared" si="269"/>
        <v>8122.7158210000007</v>
      </c>
      <c r="AW205" s="1">
        <f t="shared" si="270"/>
        <v>11296.487440000001</v>
      </c>
      <c r="AX205" s="1">
        <f t="shared" si="271"/>
        <v>10731.663068</v>
      </c>
      <c r="AY205" s="2" t="str">
        <f>CONCATENATE(ROUND(L205*0.88,2)," ",K205)</f>
        <v>9940.91 IPPS</v>
      </c>
      <c r="AZ205" s="1">
        <v>0</v>
      </c>
      <c r="BA205" s="1">
        <v>0</v>
      </c>
      <c r="BB205" s="1">
        <v>0</v>
      </c>
      <c r="BC205" s="1">
        <f t="shared" si="239"/>
        <v>11296.487440000001</v>
      </c>
      <c r="BD205" s="1">
        <f t="shared" si="240"/>
        <v>12426.136184000003</v>
      </c>
      <c r="BE205" s="1">
        <f t="shared" si="241"/>
        <v>10166.838696000001</v>
      </c>
      <c r="BF205" s="1">
        <v>0</v>
      </c>
      <c r="BG205" s="1">
        <v>0</v>
      </c>
      <c r="BH205" s="1">
        <v>0</v>
      </c>
      <c r="BI205" s="2">
        <f t="shared" si="273"/>
        <v>13555.784928000001</v>
      </c>
      <c r="BJ205" s="1">
        <f t="shared" si="274"/>
        <v>11296.487440000001</v>
      </c>
      <c r="BK205" s="2">
        <f t="shared" si="275"/>
        <v>10731.663068</v>
      </c>
      <c r="BL205" s="1">
        <f t="shared" si="276"/>
        <v>11296.487440000001</v>
      </c>
      <c r="BM205" s="1">
        <f>1.5099*9755+3070.176*1.02</f>
        <v>17860.654020000002</v>
      </c>
      <c r="BN205" s="1">
        <f t="shared" si="277"/>
        <v>11296.487440000001</v>
      </c>
      <c r="BO205" s="2">
        <f t="shared" si="278"/>
        <v>0</v>
      </c>
      <c r="BP205" s="2">
        <f t="shared" si="248"/>
        <v>49627.184199999974</v>
      </c>
      <c r="BQ205" s="22"/>
    </row>
    <row r="206" spans="1:69" ht="20.100000000000001" customHeight="1" x14ac:dyDescent="0.2">
      <c r="A206" s="17">
        <f t="shared" si="281"/>
        <v>204</v>
      </c>
      <c r="B206" s="24">
        <v>4</v>
      </c>
      <c r="C206" s="18" t="s">
        <v>64</v>
      </c>
      <c r="D206" s="19" t="s">
        <v>302</v>
      </c>
      <c r="E206" s="18" t="s">
        <v>291</v>
      </c>
      <c r="F206" s="8">
        <f>368373.876666667+H206</f>
        <v>409991.376666667</v>
      </c>
      <c r="G206" s="18" t="s">
        <v>64</v>
      </c>
      <c r="H206" s="10">
        <f>13872.5*3</f>
        <v>41617.5</v>
      </c>
      <c r="I206" s="24">
        <v>20</v>
      </c>
      <c r="J206" s="2">
        <f t="shared" si="249"/>
        <v>123029.11233600001</v>
      </c>
      <c r="K206" s="21" t="s">
        <v>249</v>
      </c>
      <c r="L206" s="1">
        <v>94637.778720000002</v>
      </c>
      <c r="M206" s="1">
        <v>38793.956666999999</v>
      </c>
      <c r="N206" s="1">
        <f>11.5438*10804.5</f>
        <v>124724.98709999998</v>
      </c>
      <c r="O206" s="2">
        <f t="shared" si="250"/>
        <v>94637.778720000002</v>
      </c>
      <c r="P206" s="1">
        <f>F206*0.5</f>
        <v>204995.6883333335</v>
      </c>
      <c r="Q206" s="1">
        <v>0</v>
      </c>
      <c r="R206" s="1">
        <v>0</v>
      </c>
      <c r="S206" s="2">
        <f t="shared" si="251"/>
        <v>94637.778720000002</v>
      </c>
      <c r="T206" s="1">
        <f>3950*I206+25701</f>
        <v>104701</v>
      </c>
      <c r="U206" s="1"/>
      <c r="V206" s="13">
        <f>13.7317*10568</f>
        <v>145116.60560000001</v>
      </c>
      <c r="W206" s="2">
        <f t="shared" si="252"/>
        <v>94637.778720000002</v>
      </c>
      <c r="X206" s="1">
        <f t="shared" si="253"/>
        <v>94637.778720000002</v>
      </c>
      <c r="Y206" s="1">
        <f t="shared" si="254"/>
        <v>94637.778720000002</v>
      </c>
      <c r="Z206" s="1">
        <f t="shared" si="280"/>
        <v>59563.327499999999</v>
      </c>
      <c r="AA206" s="1">
        <f t="shared" si="255"/>
        <v>89905.889783999999</v>
      </c>
      <c r="AB206" s="1">
        <f t="shared" si="256"/>
        <v>85174.000848000011</v>
      </c>
      <c r="AC206" s="1">
        <v>0</v>
      </c>
      <c r="AD206" s="1">
        <v>0</v>
      </c>
      <c r="AE206" s="1">
        <f t="shared" si="257"/>
        <v>94637.778720000002</v>
      </c>
      <c r="AF206" s="1">
        <f t="shared" si="258"/>
        <v>94637.778720000002</v>
      </c>
      <c r="AG206" s="1">
        <v>0</v>
      </c>
      <c r="AH206" s="1">
        <f t="shared" si="259"/>
        <v>316126.21366666688</v>
      </c>
      <c r="AI206" s="1">
        <f t="shared" si="260"/>
        <v>104101.55659200001</v>
      </c>
      <c r="AJ206" s="2">
        <f t="shared" si="261"/>
        <v>94637.778720000002</v>
      </c>
      <c r="AK206" s="1">
        <f t="shared" si="262"/>
        <v>129653.75684640001</v>
      </c>
      <c r="AL206" s="1">
        <f t="shared" si="263"/>
        <v>94637.778720000002</v>
      </c>
      <c r="AM206" s="1">
        <f t="shared" si="264"/>
        <v>94637.778720000002</v>
      </c>
      <c r="AN206" s="2">
        <f t="shared" si="282"/>
        <v>104101.55659200001</v>
      </c>
      <c r="AO206" s="2">
        <f t="shared" si="283"/>
        <v>94637.778720000002</v>
      </c>
      <c r="AP206" s="2">
        <f t="shared" si="279"/>
        <v>38793.956666999999</v>
      </c>
      <c r="AQ206" s="1">
        <f t="shared" si="265"/>
        <v>94637.778720000002</v>
      </c>
      <c r="AR206" s="1">
        <f t="shared" si="266"/>
        <v>225804.4383333335</v>
      </c>
      <c r="AS206" s="1">
        <f t="shared" si="267"/>
        <v>38793.956666999999</v>
      </c>
      <c r="AT206" s="1">
        <f t="shared" si="268"/>
        <v>94637.778720000002</v>
      </c>
      <c r="AU206" s="1">
        <v>201997.50548809613</v>
      </c>
      <c r="AV206" s="2">
        <f t="shared" si="269"/>
        <v>42673.352333700001</v>
      </c>
      <c r="AW206" s="1">
        <f t="shared" si="270"/>
        <v>94637.778720000002</v>
      </c>
      <c r="AX206" s="1">
        <f t="shared" si="271"/>
        <v>89905.889783999999</v>
      </c>
      <c r="AY206" s="2" t="str">
        <f>CONCATENATE(ROUND(L206*0.88,2)," ",K206)</f>
        <v>83281.25 IPPS</v>
      </c>
      <c r="AZ206" s="1">
        <v>0</v>
      </c>
      <c r="BA206" s="1">
        <v>0</v>
      </c>
      <c r="BB206" s="1">
        <v>0</v>
      </c>
      <c r="BC206" s="1">
        <f t="shared" si="239"/>
        <v>94637.778720000002</v>
      </c>
      <c r="BD206" s="1">
        <f t="shared" si="240"/>
        <v>104101.55659200001</v>
      </c>
      <c r="BE206" s="1">
        <f t="shared" si="241"/>
        <v>85174.000848000011</v>
      </c>
      <c r="BF206" s="1">
        <v>0</v>
      </c>
      <c r="BG206" s="1">
        <v>0</v>
      </c>
      <c r="BH206" s="1">
        <v>0</v>
      </c>
      <c r="BI206" s="2">
        <f t="shared" si="273"/>
        <v>113565.334464</v>
      </c>
      <c r="BJ206" s="1">
        <f t="shared" si="274"/>
        <v>94637.778720000002</v>
      </c>
      <c r="BK206" s="2">
        <f t="shared" si="275"/>
        <v>89905.889783999999</v>
      </c>
      <c r="BL206" s="1">
        <f t="shared" si="276"/>
        <v>94637.778720000002</v>
      </c>
      <c r="BM206" s="1">
        <f>7062*I206+13872.5*1.02</f>
        <v>155389.95000000001</v>
      </c>
      <c r="BN206" s="1">
        <f t="shared" si="277"/>
        <v>94637.778720000002</v>
      </c>
      <c r="BO206" s="2">
        <f t="shared" si="278"/>
        <v>0</v>
      </c>
      <c r="BP206" s="2">
        <f t="shared" si="248"/>
        <v>316126.21366666688</v>
      </c>
      <c r="BQ206" s="22"/>
    </row>
    <row r="207" spans="1:69" ht="20.100000000000001" customHeight="1" x14ac:dyDescent="0.2">
      <c r="A207" s="17">
        <f t="shared" si="281"/>
        <v>205</v>
      </c>
      <c r="B207" s="24">
        <v>455</v>
      </c>
      <c r="C207" s="18" t="s">
        <v>64</v>
      </c>
      <c r="D207" s="19" t="s">
        <v>303</v>
      </c>
      <c r="E207" s="18" t="s">
        <v>291</v>
      </c>
      <c r="F207" s="8">
        <f>155522.86+H207</f>
        <v>198677.5177272727</v>
      </c>
      <c r="G207" s="18" t="s">
        <v>64</v>
      </c>
      <c r="H207" s="10">
        <f>14384.8859090909*3</f>
        <v>43154.657727272701</v>
      </c>
      <c r="I207" s="24">
        <v>3</v>
      </c>
      <c r="J207" s="2">
        <f t="shared" si="249"/>
        <v>49825.476168000008</v>
      </c>
      <c r="K207" s="21" t="s">
        <v>249</v>
      </c>
      <c r="L207" s="1">
        <v>38327.289360000002</v>
      </c>
      <c r="M207" s="1">
        <v>9508.0043580000001</v>
      </c>
      <c r="N207" s="1">
        <f>4.8133*10804.5</f>
        <v>52005.299849999996</v>
      </c>
      <c r="O207" s="2">
        <f t="shared" si="250"/>
        <v>38327.289360000002</v>
      </c>
      <c r="P207" s="1">
        <f>F207*0.5</f>
        <v>99338.758863636351</v>
      </c>
      <c r="Q207" s="1">
        <v>0</v>
      </c>
      <c r="R207" s="1">
        <v>0</v>
      </c>
      <c r="S207" s="2">
        <f t="shared" si="251"/>
        <v>38327.289360000002</v>
      </c>
      <c r="T207" s="1">
        <f>37876+25701</f>
        <v>63577</v>
      </c>
      <c r="U207" s="1"/>
      <c r="V207" s="13">
        <f>4.788*10568</f>
        <v>50599.584000000003</v>
      </c>
      <c r="W207" s="2">
        <f t="shared" si="252"/>
        <v>38327.289360000002</v>
      </c>
      <c r="X207" s="1">
        <f t="shared" si="253"/>
        <v>38327.289360000002</v>
      </c>
      <c r="Y207" s="1">
        <f t="shared" si="254"/>
        <v>38327.289360000002</v>
      </c>
      <c r="Z207" s="1">
        <f t="shared" si="280"/>
        <v>22702.687332272719</v>
      </c>
      <c r="AA207" s="1">
        <f t="shared" si="255"/>
        <v>36410.924892000003</v>
      </c>
      <c r="AB207" s="1">
        <f t="shared" si="256"/>
        <v>34494.560424000003</v>
      </c>
      <c r="AC207" s="1">
        <v>0</v>
      </c>
      <c r="AD207" s="1">
        <v>0</v>
      </c>
      <c r="AE207" s="1">
        <f t="shared" si="257"/>
        <v>38327.289360000002</v>
      </c>
      <c r="AF207" s="1">
        <f t="shared" si="258"/>
        <v>38327.289360000002</v>
      </c>
      <c r="AG207" s="1">
        <v>0</v>
      </c>
      <c r="AH207" s="1">
        <f t="shared" si="259"/>
        <v>169282.52281818178</v>
      </c>
      <c r="AI207" s="1">
        <f t="shared" si="260"/>
        <v>42160.018296000009</v>
      </c>
      <c r="AJ207" s="2">
        <f t="shared" si="261"/>
        <v>38327.289360000002</v>
      </c>
      <c r="AK207" s="1">
        <f t="shared" si="262"/>
        <v>52508.386423200005</v>
      </c>
      <c r="AL207" s="1">
        <f t="shared" si="263"/>
        <v>38327.289360000002</v>
      </c>
      <c r="AM207" s="1">
        <f t="shared" si="264"/>
        <v>38327.289360000002</v>
      </c>
      <c r="AN207" s="2">
        <f t="shared" si="282"/>
        <v>42160.018296000009</v>
      </c>
      <c r="AO207" s="2">
        <f t="shared" si="283"/>
        <v>38327.289360000002</v>
      </c>
      <c r="AP207" s="2">
        <f t="shared" si="279"/>
        <v>9508.0043580000001</v>
      </c>
      <c r="AQ207" s="1">
        <f t="shared" si="265"/>
        <v>38327.289360000002</v>
      </c>
      <c r="AR207" s="1">
        <f t="shared" si="266"/>
        <v>120916.08772727271</v>
      </c>
      <c r="AS207" s="1">
        <f t="shared" si="267"/>
        <v>9508.0043580000001</v>
      </c>
      <c r="AT207" s="1">
        <f t="shared" si="268"/>
        <v>38327.289360000002</v>
      </c>
      <c r="AU207" s="1">
        <v>62604.312950298146</v>
      </c>
      <c r="AV207" s="2">
        <f t="shared" si="269"/>
        <v>10458.804793800002</v>
      </c>
      <c r="AW207" s="1">
        <f t="shared" si="270"/>
        <v>38327.289360000002</v>
      </c>
      <c r="AX207" s="1">
        <f t="shared" si="271"/>
        <v>36410.924892000003</v>
      </c>
      <c r="AY207" s="1">
        <f t="shared" ref="AY207:AY233" si="284">L207*0.88</f>
        <v>33728.014636800006</v>
      </c>
      <c r="AZ207" s="1">
        <v>0</v>
      </c>
      <c r="BA207" s="1">
        <v>0</v>
      </c>
      <c r="BB207" s="1">
        <v>0</v>
      </c>
      <c r="BC207" s="1">
        <f t="shared" si="239"/>
        <v>38327.289360000002</v>
      </c>
      <c r="BD207" s="1">
        <f t="shared" si="240"/>
        <v>42160.018296000009</v>
      </c>
      <c r="BE207" s="1">
        <f t="shared" si="241"/>
        <v>34494.560424000003</v>
      </c>
      <c r="BF207" s="1">
        <v>0</v>
      </c>
      <c r="BG207" s="1">
        <v>0</v>
      </c>
      <c r="BH207" s="1">
        <v>0</v>
      </c>
      <c r="BI207" s="2">
        <f t="shared" si="273"/>
        <v>45992.747232000002</v>
      </c>
      <c r="BJ207" s="1">
        <f t="shared" si="274"/>
        <v>38327.289360000002</v>
      </c>
      <c r="BK207" s="2">
        <f t="shared" si="275"/>
        <v>36410.924892000003</v>
      </c>
      <c r="BL207" s="1">
        <f t="shared" si="276"/>
        <v>38327.289360000002</v>
      </c>
      <c r="BM207" s="1">
        <f>4.788*9755+14384.8859090909*1.02</f>
        <v>61379.52362727272</v>
      </c>
      <c r="BN207" s="1">
        <f t="shared" si="277"/>
        <v>38327.289360000002</v>
      </c>
      <c r="BO207" s="2">
        <f t="shared" si="278"/>
        <v>0</v>
      </c>
      <c r="BP207" s="2">
        <f t="shared" si="248"/>
        <v>169282.52281818178</v>
      </c>
      <c r="BQ207" s="22"/>
    </row>
    <row r="208" spans="1:69" ht="20.100000000000001" customHeight="1" x14ac:dyDescent="0.2">
      <c r="A208" s="17">
        <f t="shared" si="281"/>
        <v>206</v>
      </c>
      <c r="B208" s="24">
        <v>453</v>
      </c>
      <c r="C208" s="18" t="s">
        <v>64</v>
      </c>
      <c r="D208" s="19" t="s">
        <v>304</v>
      </c>
      <c r="E208" s="18" t="s">
        <v>291</v>
      </c>
      <c r="F208" s="8">
        <f>209041.406+H208</f>
        <v>285609.65599999996</v>
      </c>
      <c r="G208" s="18" t="s">
        <v>64</v>
      </c>
      <c r="H208" s="10">
        <f>25522.75*3</f>
        <v>76568.25</v>
      </c>
      <c r="I208" s="24">
        <v>8</v>
      </c>
      <c r="J208" s="2">
        <f t="shared" si="249"/>
        <v>95404.074999999997</v>
      </c>
      <c r="K208" s="21" t="s">
        <v>249</v>
      </c>
      <c r="L208" s="2">
        <v>73387.75</v>
      </c>
      <c r="M208" s="1">
        <v>10272.997558000001</v>
      </c>
      <c r="N208" s="1">
        <f>9.407*10804.5</f>
        <v>101637.93150000001</v>
      </c>
      <c r="O208" s="2">
        <f t="shared" si="250"/>
        <v>73387.75</v>
      </c>
      <c r="P208" s="1">
        <f>F208*0.5</f>
        <v>142804.82799999998</v>
      </c>
      <c r="Q208" s="1">
        <v>0</v>
      </c>
      <c r="R208" s="1">
        <v>0</v>
      </c>
      <c r="S208" s="2">
        <f t="shared" si="251"/>
        <v>73387.75</v>
      </c>
      <c r="T208" s="1">
        <f>37876+25701</f>
        <v>63577</v>
      </c>
      <c r="U208" s="1"/>
      <c r="V208" s="13">
        <f>9.1548*10568</f>
        <v>96747.926399999997</v>
      </c>
      <c r="W208" s="2">
        <f t="shared" si="252"/>
        <v>73387.75</v>
      </c>
      <c r="X208" s="1">
        <f t="shared" si="253"/>
        <v>73387.75</v>
      </c>
      <c r="Y208" s="1">
        <f t="shared" si="254"/>
        <v>73387.75</v>
      </c>
      <c r="Z208" s="1">
        <f t="shared" si="280"/>
        <v>46175.957249999999</v>
      </c>
      <c r="AA208" s="1">
        <f t="shared" si="255"/>
        <v>69718.362500000003</v>
      </c>
      <c r="AB208" s="1">
        <f t="shared" si="256"/>
        <v>66048.975000000006</v>
      </c>
      <c r="AC208" s="1">
        <v>0</v>
      </c>
      <c r="AD208" s="1">
        <v>0</v>
      </c>
      <c r="AE208" s="1">
        <f t="shared" si="257"/>
        <v>73387.75</v>
      </c>
      <c r="AF208" s="1">
        <f t="shared" si="258"/>
        <v>73387.75</v>
      </c>
      <c r="AG208" s="1">
        <v>0</v>
      </c>
      <c r="AH208" s="1">
        <f t="shared" si="259"/>
        <v>253524.53419999997</v>
      </c>
      <c r="AI208" s="1">
        <f t="shared" si="260"/>
        <v>80726.525000000009</v>
      </c>
      <c r="AJ208" s="2">
        <f t="shared" si="261"/>
        <v>73387.75</v>
      </c>
      <c r="AK208" s="1">
        <f t="shared" si="262"/>
        <v>100541.21750000001</v>
      </c>
      <c r="AL208" s="1">
        <f t="shared" si="263"/>
        <v>73387.75</v>
      </c>
      <c r="AM208" s="1">
        <f t="shared" si="264"/>
        <v>73387.75</v>
      </c>
      <c r="AN208" s="2">
        <f t="shared" si="282"/>
        <v>80726.525000000009</v>
      </c>
      <c r="AO208" s="2">
        <f t="shared" si="283"/>
        <v>73387.75</v>
      </c>
      <c r="AP208" s="2">
        <f t="shared" si="279"/>
        <v>10272.997558000001</v>
      </c>
      <c r="AQ208" s="1">
        <f t="shared" si="265"/>
        <v>73387.75</v>
      </c>
      <c r="AR208" s="1">
        <f t="shared" si="266"/>
        <v>181088.95299999998</v>
      </c>
      <c r="AS208" s="1">
        <f t="shared" si="267"/>
        <v>10272.997558000001</v>
      </c>
      <c r="AT208" s="1">
        <f t="shared" si="268"/>
        <v>73387.75</v>
      </c>
      <c r="AU208" s="1">
        <v>127106.67087577126</v>
      </c>
      <c r="AV208" s="2">
        <f t="shared" si="269"/>
        <v>11300.297313800002</v>
      </c>
      <c r="AW208" s="1">
        <f t="shared" si="270"/>
        <v>73387.75</v>
      </c>
      <c r="AX208" s="1">
        <f t="shared" si="271"/>
        <v>69718.362500000003</v>
      </c>
      <c r="AY208" s="1">
        <f t="shared" si="284"/>
        <v>64581.22</v>
      </c>
      <c r="AZ208" s="1">
        <v>0</v>
      </c>
      <c r="BA208" s="1">
        <v>0</v>
      </c>
      <c r="BB208" s="1">
        <v>0</v>
      </c>
      <c r="BC208" s="1">
        <f t="shared" si="239"/>
        <v>73387.75</v>
      </c>
      <c r="BD208" s="1">
        <f t="shared" si="240"/>
        <v>80726.525000000009</v>
      </c>
      <c r="BE208" s="1">
        <f t="shared" si="241"/>
        <v>66048.975000000006</v>
      </c>
      <c r="BF208" s="1">
        <v>0</v>
      </c>
      <c r="BG208" s="1">
        <v>0</v>
      </c>
      <c r="BH208" s="1">
        <v>0</v>
      </c>
      <c r="BI208" s="2">
        <f t="shared" si="273"/>
        <v>88065.3</v>
      </c>
      <c r="BJ208" s="1">
        <f t="shared" si="274"/>
        <v>73387.75</v>
      </c>
      <c r="BK208" s="2">
        <f t="shared" si="275"/>
        <v>69718.362500000003</v>
      </c>
      <c r="BL208" s="1">
        <f t="shared" si="276"/>
        <v>73387.75</v>
      </c>
      <c r="BM208" s="1">
        <f>9.1548*9755+25522.75*1.02</f>
        <v>115338.27899999999</v>
      </c>
      <c r="BN208" s="1">
        <f t="shared" si="277"/>
        <v>73387.75</v>
      </c>
      <c r="BO208" s="2">
        <f t="shared" si="278"/>
        <v>0</v>
      </c>
      <c r="BP208" s="2">
        <f t="shared" si="248"/>
        <v>253524.53419999997</v>
      </c>
      <c r="BQ208" s="22"/>
    </row>
    <row r="209" spans="1:69" ht="20.100000000000001" customHeight="1" x14ac:dyDescent="0.2">
      <c r="A209" s="17">
        <f t="shared" si="281"/>
        <v>207</v>
      </c>
      <c r="B209" s="24">
        <v>43239</v>
      </c>
      <c r="C209" s="18" t="s">
        <v>64</v>
      </c>
      <c r="D209" s="26" t="s">
        <v>305</v>
      </c>
      <c r="E209" s="18" t="s">
        <v>306</v>
      </c>
      <c r="F209" s="8">
        <v>3427</v>
      </c>
      <c r="G209" s="24">
        <v>360</v>
      </c>
      <c r="H209" s="12">
        <v>0</v>
      </c>
      <c r="I209" s="24">
        <v>0</v>
      </c>
      <c r="J209" s="2">
        <f t="shared" si="249"/>
        <v>1069.3196800000001</v>
      </c>
      <c r="K209" s="21" t="s">
        <v>307</v>
      </c>
      <c r="L209" s="2">
        <v>822.55360000000007</v>
      </c>
      <c r="M209" s="2">
        <v>35.045500000000004</v>
      </c>
      <c r="N209" s="1">
        <v>2150.5500000000002</v>
      </c>
      <c r="O209" s="1">
        <f t="shared" si="250"/>
        <v>822.55360000000007</v>
      </c>
      <c r="P209" s="2">
        <f>1.25*L209</f>
        <v>1028.192</v>
      </c>
      <c r="Q209" s="1">
        <v>0</v>
      </c>
      <c r="R209" s="1">
        <v>0</v>
      </c>
      <c r="S209" s="2">
        <f t="shared" si="251"/>
        <v>822.55360000000007</v>
      </c>
      <c r="T209" s="2">
        <v>2462</v>
      </c>
      <c r="V209" s="1">
        <f>455*5.9*1.063</f>
        <v>2853.6234999999997</v>
      </c>
      <c r="W209" s="2">
        <f t="shared" si="252"/>
        <v>822.55360000000007</v>
      </c>
      <c r="X209" s="1">
        <f t="shared" si="253"/>
        <v>822.55360000000007</v>
      </c>
      <c r="Y209" s="1">
        <f t="shared" si="254"/>
        <v>822.55360000000007</v>
      </c>
      <c r="Z209" s="1">
        <v>1454</v>
      </c>
      <c r="AA209" s="1">
        <f t="shared" si="255"/>
        <v>781.42592000000002</v>
      </c>
      <c r="AB209" s="1">
        <f t="shared" ref="AB209:AB233" si="285">L209*0.95</f>
        <v>781.42592000000002</v>
      </c>
      <c r="AC209" s="1">
        <v>0</v>
      </c>
      <c r="AD209" s="1">
        <v>0</v>
      </c>
      <c r="AE209" s="1">
        <f t="shared" si="257"/>
        <v>822.55360000000007</v>
      </c>
      <c r="AF209" s="1">
        <f t="shared" si="258"/>
        <v>822.55360000000007</v>
      </c>
      <c r="AG209" s="1">
        <v>0</v>
      </c>
      <c r="AH209" s="1">
        <f t="shared" ref="AH209:AH233" si="286">F209*0.7</f>
        <v>2398.8999999999996</v>
      </c>
      <c r="AI209" s="1">
        <f t="shared" si="260"/>
        <v>904.80896000000018</v>
      </c>
      <c r="AJ209" s="2">
        <f t="shared" si="261"/>
        <v>822.55360000000007</v>
      </c>
      <c r="AK209" s="1">
        <f t="shared" ref="AK209:AK233" si="287">L209*1.36</f>
        <v>1118.6728960000003</v>
      </c>
      <c r="AL209" s="1">
        <f t="shared" si="263"/>
        <v>822.55360000000007</v>
      </c>
      <c r="AM209" s="1">
        <f t="shared" si="264"/>
        <v>822.55360000000007</v>
      </c>
      <c r="AN209" s="1">
        <f t="shared" ref="AN209:AN233" si="288">L209</f>
        <v>822.55360000000007</v>
      </c>
      <c r="AO209" s="1">
        <f t="shared" si="283"/>
        <v>822.55360000000007</v>
      </c>
      <c r="AP209" s="1">
        <f t="shared" ref="AP209:AP233" si="289">L209*0.8</f>
        <v>658.04288000000008</v>
      </c>
      <c r="AQ209" s="1">
        <f t="shared" si="265"/>
        <v>822.55360000000007</v>
      </c>
      <c r="AR209" s="1">
        <f t="shared" ref="AR209:AR233" si="290">F209*0.5</f>
        <v>1713.5</v>
      </c>
      <c r="AS209" s="1">
        <f t="shared" ref="AS209:AS233" si="291">M209*2.5</f>
        <v>87.61375000000001</v>
      </c>
      <c r="AT209" s="1">
        <f t="shared" si="268"/>
        <v>822.55360000000007</v>
      </c>
      <c r="AU209" s="1">
        <v>868.41610416000026</v>
      </c>
      <c r="AV209" s="1">
        <f t="shared" si="269"/>
        <v>38.550050000000006</v>
      </c>
      <c r="AW209" s="1">
        <f t="shared" si="270"/>
        <v>822.55360000000007</v>
      </c>
      <c r="AX209" s="1">
        <f t="shared" si="271"/>
        <v>781.42592000000002</v>
      </c>
      <c r="AY209" s="1">
        <f t="shared" si="284"/>
        <v>723.84716800000012</v>
      </c>
      <c r="AZ209" s="1">
        <v>0</v>
      </c>
      <c r="BA209" s="1">
        <v>0</v>
      </c>
      <c r="BB209" s="1">
        <v>0</v>
      </c>
      <c r="BC209" s="1">
        <f t="shared" si="239"/>
        <v>822.55360000000007</v>
      </c>
      <c r="BD209" s="1">
        <f t="shared" si="240"/>
        <v>904.80896000000018</v>
      </c>
      <c r="BE209" s="1">
        <f t="shared" si="241"/>
        <v>740.29824000000008</v>
      </c>
      <c r="BF209" s="1">
        <v>0</v>
      </c>
      <c r="BG209" s="1">
        <v>0</v>
      </c>
      <c r="BH209" s="1">
        <v>0</v>
      </c>
      <c r="BI209" s="1">
        <f t="shared" si="273"/>
        <v>987.06432000000007</v>
      </c>
      <c r="BJ209" s="1">
        <f t="shared" si="274"/>
        <v>822.55360000000007</v>
      </c>
      <c r="BK209" s="2">
        <f t="shared" si="275"/>
        <v>781.42592000000002</v>
      </c>
      <c r="BL209" s="1">
        <f t="shared" si="276"/>
        <v>822.55360000000007</v>
      </c>
      <c r="BM209" s="1">
        <v>1531</v>
      </c>
      <c r="BN209" s="1">
        <f t="shared" si="277"/>
        <v>822.55360000000007</v>
      </c>
      <c r="BO209" s="2">
        <f t="shared" si="278"/>
        <v>0</v>
      </c>
      <c r="BP209" s="2">
        <f t="shared" si="248"/>
        <v>2853.6234999999997</v>
      </c>
      <c r="BQ209" s="22">
        <f t="shared" ref="BQ209:BQ217" si="292">BP209/F209</f>
        <v>0.83268850306390418</v>
      </c>
    </row>
    <row r="210" spans="1:69" ht="20.100000000000001" customHeight="1" x14ac:dyDescent="0.2">
      <c r="A210" s="17">
        <f t="shared" si="281"/>
        <v>208</v>
      </c>
      <c r="B210" s="24">
        <v>45380</v>
      </c>
      <c r="C210" s="18" t="s">
        <v>64</v>
      </c>
      <c r="D210" s="26" t="s">
        <v>308</v>
      </c>
      <c r="E210" s="18" t="s">
        <v>306</v>
      </c>
      <c r="F210" s="8">
        <v>3426</v>
      </c>
      <c r="G210" s="24">
        <v>360</v>
      </c>
      <c r="H210" s="12">
        <v>0</v>
      </c>
      <c r="I210" s="24">
        <v>0</v>
      </c>
      <c r="J210" s="2">
        <f t="shared" si="249"/>
        <v>1369.6167680000003</v>
      </c>
      <c r="K210" s="21" t="s">
        <v>307</v>
      </c>
      <c r="L210" s="2">
        <v>1053.5513600000002</v>
      </c>
      <c r="M210" s="2">
        <v>30.039000000000001</v>
      </c>
      <c r="N210" s="1">
        <v>2150.5500000000002</v>
      </c>
      <c r="O210" s="1">
        <f t="shared" si="250"/>
        <v>1053.5513600000002</v>
      </c>
      <c r="P210" s="2">
        <f>1.25*L210</f>
        <v>1316.9392000000003</v>
      </c>
      <c r="Q210" s="1">
        <v>0</v>
      </c>
      <c r="R210" s="1">
        <v>0</v>
      </c>
      <c r="S210" s="2">
        <f t="shared" si="251"/>
        <v>1053.5513600000002</v>
      </c>
      <c r="T210" s="2">
        <v>1726</v>
      </c>
      <c r="V210" s="1">
        <f>455*5.9*1.063</f>
        <v>2853.6234999999997</v>
      </c>
      <c r="W210" s="2">
        <f t="shared" si="252"/>
        <v>1053.5513600000002</v>
      </c>
      <c r="X210" s="1">
        <f t="shared" si="253"/>
        <v>1053.5513600000002</v>
      </c>
      <c r="Y210" s="1">
        <f t="shared" si="254"/>
        <v>1053.5513600000002</v>
      </c>
      <c r="Z210" s="1">
        <v>1454</v>
      </c>
      <c r="AA210" s="1">
        <f t="shared" si="255"/>
        <v>1000.8737920000001</v>
      </c>
      <c r="AB210" s="1">
        <f t="shared" si="285"/>
        <v>1000.8737920000001</v>
      </c>
      <c r="AC210" s="1">
        <v>0</v>
      </c>
      <c r="AD210" s="1">
        <v>0</v>
      </c>
      <c r="AE210" s="1">
        <f t="shared" si="257"/>
        <v>1053.5513600000002</v>
      </c>
      <c r="AF210" s="1">
        <f t="shared" si="258"/>
        <v>1053.5513600000002</v>
      </c>
      <c r="AG210" s="1">
        <v>0</v>
      </c>
      <c r="AH210" s="1">
        <f t="shared" si="286"/>
        <v>2398.1999999999998</v>
      </c>
      <c r="AI210" s="1">
        <f t="shared" si="260"/>
        <v>1158.9064960000003</v>
      </c>
      <c r="AJ210" s="2">
        <f t="shared" si="261"/>
        <v>1053.5513600000002</v>
      </c>
      <c r="AK210" s="1">
        <f t="shared" si="287"/>
        <v>1432.8298496000002</v>
      </c>
      <c r="AL210" s="1">
        <f t="shared" si="263"/>
        <v>1053.5513600000002</v>
      </c>
      <c r="AM210" s="1">
        <f t="shared" si="264"/>
        <v>1053.5513600000002</v>
      </c>
      <c r="AN210" s="1">
        <f t="shared" si="288"/>
        <v>1053.5513600000002</v>
      </c>
      <c r="AO210" s="1">
        <f t="shared" si="283"/>
        <v>1053.5513600000002</v>
      </c>
      <c r="AP210" s="1">
        <f t="shared" si="289"/>
        <v>842.84108800000013</v>
      </c>
      <c r="AQ210" s="1">
        <f t="shared" si="265"/>
        <v>1053.5513600000002</v>
      </c>
      <c r="AR210" s="1">
        <f t="shared" si="290"/>
        <v>1713</v>
      </c>
      <c r="AS210" s="1">
        <f t="shared" si="291"/>
        <v>75.097499999999997</v>
      </c>
      <c r="AT210" s="1">
        <f t="shared" si="268"/>
        <v>1053.5513600000002</v>
      </c>
      <c r="AU210" s="1">
        <v>1112.2934330160003</v>
      </c>
      <c r="AV210" s="1">
        <f t="shared" si="269"/>
        <v>33.042900000000003</v>
      </c>
      <c r="AW210" s="1">
        <f t="shared" si="270"/>
        <v>1053.5513600000002</v>
      </c>
      <c r="AX210" s="1">
        <f t="shared" si="271"/>
        <v>1000.8737920000001</v>
      </c>
      <c r="AY210" s="1">
        <f t="shared" si="284"/>
        <v>927.12519680000014</v>
      </c>
      <c r="AZ210" s="1">
        <v>0</v>
      </c>
      <c r="BA210" s="1">
        <v>0</v>
      </c>
      <c r="BB210" s="1">
        <v>0</v>
      </c>
      <c r="BC210" s="1">
        <f t="shared" si="239"/>
        <v>1053.5513600000002</v>
      </c>
      <c r="BD210" s="1">
        <f t="shared" si="240"/>
        <v>1158.9064960000003</v>
      </c>
      <c r="BE210" s="1">
        <f t="shared" si="241"/>
        <v>948.19622400000014</v>
      </c>
      <c r="BF210" s="1">
        <v>0</v>
      </c>
      <c r="BG210" s="1">
        <v>0</v>
      </c>
      <c r="BH210" s="1">
        <v>0</v>
      </c>
      <c r="BI210" s="1">
        <f t="shared" si="273"/>
        <v>1264.2616320000002</v>
      </c>
      <c r="BJ210" s="1">
        <f t="shared" si="274"/>
        <v>1053.5513600000002</v>
      </c>
      <c r="BK210" s="2">
        <f t="shared" si="275"/>
        <v>1000.8737920000001</v>
      </c>
      <c r="BL210" s="1">
        <f t="shared" si="276"/>
        <v>1053.5513600000002</v>
      </c>
      <c r="BM210" s="1">
        <v>1531</v>
      </c>
      <c r="BN210" s="1">
        <f t="shared" si="277"/>
        <v>1053.5513600000002</v>
      </c>
      <c r="BO210" s="2">
        <f t="shared" si="278"/>
        <v>0</v>
      </c>
      <c r="BP210" s="2">
        <f t="shared" si="248"/>
        <v>2853.6234999999997</v>
      </c>
      <c r="BQ210" s="22">
        <f t="shared" si="292"/>
        <v>0.83293155283129006</v>
      </c>
    </row>
    <row r="211" spans="1:69" ht="20.100000000000001" customHeight="1" x14ac:dyDescent="0.2">
      <c r="A211" s="17">
        <f t="shared" si="281"/>
        <v>209</v>
      </c>
      <c r="B211" s="24">
        <v>45378</v>
      </c>
      <c r="C211" s="18" t="s">
        <v>64</v>
      </c>
      <c r="D211" s="26" t="s">
        <v>309</v>
      </c>
      <c r="E211" s="18" t="s">
        <v>306</v>
      </c>
      <c r="F211" s="8">
        <f>L211*5</f>
        <v>4031.7419999999997</v>
      </c>
      <c r="G211" s="24">
        <v>360</v>
      </c>
      <c r="H211" s="12">
        <v>0</v>
      </c>
      <c r="I211" s="24">
        <v>0</v>
      </c>
      <c r="J211" s="2">
        <f t="shared" si="249"/>
        <v>1048.2529199999999</v>
      </c>
      <c r="K211" s="21" t="s">
        <v>307</v>
      </c>
      <c r="L211" s="2">
        <v>806.34839999999997</v>
      </c>
      <c r="M211" s="2">
        <v>50.065000000000005</v>
      </c>
      <c r="N211" s="1">
        <v>2150.5500000000002</v>
      </c>
      <c r="O211" s="1">
        <f t="shared" si="250"/>
        <v>806.34839999999997</v>
      </c>
      <c r="P211" s="2">
        <f>1.25*L211</f>
        <v>1007.9354999999999</v>
      </c>
      <c r="Q211" s="1">
        <v>0</v>
      </c>
      <c r="R211" s="1">
        <v>0</v>
      </c>
      <c r="S211" s="2">
        <f t="shared" si="251"/>
        <v>806.34839999999997</v>
      </c>
      <c r="T211" s="2">
        <v>1726</v>
      </c>
      <c r="V211" s="1">
        <f>455*5.9*1.063</f>
        <v>2853.6234999999997</v>
      </c>
      <c r="W211" s="2">
        <f t="shared" si="252"/>
        <v>806.34839999999997</v>
      </c>
      <c r="X211" s="1">
        <f t="shared" si="253"/>
        <v>806.34839999999997</v>
      </c>
      <c r="Y211" s="1">
        <f t="shared" si="254"/>
        <v>806.34839999999997</v>
      </c>
      <c r="Z211" s="1">
        <v>1454</v>
      </c>
      <c r="AA211" s="1">
        <f t="shared" si="255"/>
        <v>766.03097999999989</v>
      </c>
      <c r="AB211" s="1">
        <f t="shared" si="285"/>
        <v>766.03097999999989</v>
      </c>
      <c r="AC211" s="1">
        <v>0</v>
      </c>
      <c r="AD211" s="1">
        <v>0</v>
      </c>
      <c r="AE211" s="1">
        <f t="shared" si="257"/>
        <v>806.34839999999997</v>
      </c>
      <c r="AF211" s="1">
        <f t="shared" si="258"/>
        <v>806.34839999999997</v>
      </c>
      <c r="AG211" s="1">
        <v>0</v>
      </c>
      <c r="AH211" s="1">
        <f t="shared" si="286"/>
        <v>2822.2193999999995</v>
      </c>
      <c r="AI211" s="1">
        <f t="shared" si="260"/>
        <v>886.98324000000002</v>
      </c>
      <c r="AJ211" s="2">
        <f t="shared" si="261"/>
        <v>806.34839999999997</v>
      </c>
      <c r="AK211" s="1">
        <f t="shared" si="287"/>
        <v>1096.633824</v>
      </c>
      <c r="AL211" s="1">
        <f t="shared" si="263"/>
        <v>806.34839999999997</v>
      </c>
      <c r="AM211" s="1">
        <f t="shared" si="264"/>
        <v>806.34839999999997</v>
      </c>
      <c r="AN211" s="1">
        <f t="shared" si="288"/>
        <v>806.34839999999997</v>
      </c>
      <c r="AO211" s="1">
        <f t="shared" si="283"/>
        <v>806.34839999999997</v>
      </c>
      <c r="AP211" s="1">
        <f t="shared" si="289"/>
        <v>645.07871999999998</v>
      </c>
      <c r="AQ211" s="1">
        <f t="shared" si="265"/>
        <v>806.34839999999997</v>
      </c>
      <c r="AR211" s="1">
        <f t="shared" si="290"/>
        <v>2015.8709999999999</v>
      </c>
      <c r="AS211" s="1">
        <f t="shared" si="291"/>
        <v>125.16250000000001</v>
      </c>
      <c r="AT211" s="1">
        <f t="shared" si="268"/>
        <v>806.34839999999997</v>
      </c>
      <c r="AU211" s="1">
        <v>851.30736297750013</v>
      </c>
      <c r="AV211" s="1">
        <f t="shared" si="269"/>
        <v>55.071500000000007</v>
      </c>
      <c r="AW211" s="1">
        <f t="shared" si="270"/>
        <v>806.34839999999997</v>
      </c>
      <c r="AX211" s="1">
        <f t="shared" si="271"/>
        <v>766.03097999999989</v>
      </c>
      <c r="AY211" s="1">
        <f t="shared" si="284"/>
        <v>709.586592</v>
      </c>
      <c r="AZ211" s="1">
        <v>0</v>
      </c>
      <c r="BA211" s="1">
        <v>0</v>
      </c>
      <c r="BB211" s="1">
        <v>0</v>
      </c>
      <c r="BC211" s="1">
        <f t="shared" si="239"/>
        <v>806.34839999999997</v>
      </c>
      <c r="BD211" s="1">
        <f t="shared" si="240"/>
        <v>886.98324000000002</v>
      </c>
      <c r="BE211" s="1">
        <f t="shared" si="241"/>
        <v>725.71356000000003</v>
      </c>
      <c r="BF211" s="1">
        <v>0</v>
      </c>
      <c r="BG211" s="1">
        <v>0</v>
      </c>
      <c r="BH211" s="1">
        <v>0</v>
      </c>
      <c r="BI211" s="1">
        <f t="shared" si="273"/>
        <v>967.61807999999996</v>
      </c>
      <c r="BJ211" s="1">
        <f t="shared" si="274"/>
        <v>806.34839999999997</v>
      </c>
      <c r="BK211" s="2">
        <f t="shared" si="275"/>
        <v>766.03097999999989</v>
      </c>
      <c r="BL211" s="1">
        <f t="shared" si="276"/>
        <v>806.34839999999997</v>
      </c>
      <c r="BM211" s="1">
        <v>1531</v>
      </c>
      <c r="BN211" s="1">
        <f t="shared" si="277"/>
        <v>806.34839999999997</v>
      </c>
      <c r="BO211" s="2">
        <f t="shared" si="278"/>
        <v>0</v>
      </c>
      <c r="BP211" s="2">
        <f t="shared" si="248"/>
        <v>2853.6234999999997</v>
      </c>
      <c r="BQ211" s="22">
        <f t="shared" si="292"/>
        <v>0.70778921369472547</v>
      </c>
    </row>
    <row r="212" spans="1:69" ht="20.100000000000001" customHeight="1" x14ac:dyDescent="0.2">
      <c r="A212" s="17">
        <f t="shared" si="281"/>
        <v>210</v>
      </c>
      <c r="B212" s="24">
        <v>45385</v>
      </c>
      <c r="C212" s="18" t="s">
        <v>64</v>
      </c>
      <c r="D212" s="26" t="s">
        <v>310</v>
      </c>
      <c r="E212" s="18" t="s">
        <v>306</v>
      </c>
      <c r="F212" s="8">
        <f>L212*5</f>
        <v>5267.756800000001</v>
      </c>
      <c r="G212" s="24">
        <v>360</v>
      </c>
      <c r="H212" s="12">
        <v>0</v>
      </c>
      <c r="I212" s="24">
        <v>0</v>
      </c>
      <c r="J212" s="2">
        <f t="shared" si="249"/>
        <v>1369.6167680000003</v>
      </c>
      <c r="K212" s="21" t="s">
        <v>307</v>
      </c>
      <c r="L212" s="2">
        <v>1053.5513600000002</v>
      </c>
      <c r="M212" s="2">
        <v>30.039000000000001</v>
      </c>
      <c r="N212" s="1">
        <v>2150.5500000000002</v>
      </c>
      <c r="O212" s="1">
        <f t="shared" si="250"/>
        <v>1053.5513600000002</v>
      </c>
      <c r="P212" s="2">
        <f t="shared" ref="P212:P233" si="293">1.25*L212</f>
        <v>1316.9392000000003</v>
      </c>
      <c r="Q212" s="1">
        <v>0</v>
      </c>
      <c r="R212" s="1">
        <v>0</v>
      </c>
      <c r="S212" s="2">
        <f t="shared" si="251"/>
        <v>1053.5513600000002</v>
      </c>
      <c r="T212" s="2">
        <v>1726</v>
      </c>
      <c r="V212" s="1">
        <f>455*5.9*1.063</f>
        <v>2853.6234999999997</v>
      </c>
      <c r="W212" s="2">
        <f t="shared" si="252"/>
        <v>1053.5513600000002</v>
      </c>
      <c r="X212" s="1">
        <f t="shared" si="253"/>
        <v>1053.5513600000002</v>
      </c>
      <c r="Y212" s="1">
        <f t="shared" si="254"/>
        <v>1053.5513600000002</v>
      </c>
      <c r="Z212" s="1">
        <v>1454</v>
      </c>
      <c r="AA212" s="1">
        <f t="shared" si="255"/>
        <v>1000.8737920000001</v>
      </c>
      <c r="AB212" s="1">
        <f t="shared" si="285"/>
        <v>1000.8737920000001</v>
      </c>
      <c r="AC212" s="1">
        <v>0</v>
      </c>
      <c r="AD212" s="1">
        <v>0</v>
      </c>
      <c r="AE212" s="1">
        <f t="shared" si="257"/>
        <v>1053.5513600000002</v>
      </c>
      <c r="AF212" s="1">
        <f t="shared" si="258"/>
        <v>1053.5513600000002</v>
      </c>
      <c r="AG212" s="1">
        <v>0</v>
      </c>
      <c r="AH212" s="1">
        <f t="shared" si="286"/>
        <v>3687.4297600000004</v>
      </c>
      <c r="AI212" s="1">
        <f t="shared" si="260"/>
        <v>1158.9064960000003</v>
      </c>
      <c r="AJ212" s="2">
        <f t="shared" si="261"/>
        <v>1053.5513600000002</v>
      </c>
      <c r="AK212" s="1">
        <f t="shared" si="287"/>
        <v>1432.8298496000002</v>
      </c>
      <c r="AL212" s="1">
        <f t="shared" si="263"/>
        <v>1053.5513600000002</v>
      </c>
      <c r="AM212" s="1">
        <f t="shared" si="264"/>
        <v>1053.5513600000002</v>
      </c>
      <c r="AN212" s="1">
        <f t="shared" si="288"/>
        <v>1053.5513600000002</v>
      </c>
      <c r="AO212" s="1">
        <f t="shared" si="283"/>
        <v>1053.5513600000002</v>
      </c>
      <c r="AP212" s="1">
        <f t="shared" si="289"/>
        <v>842.84108800000013</v>
      </c>
      <c r="AQ212" s="1">
        <f t="shared" si="265"/>
        <v>1053.5513600000002</v>
      </c>
      <c r="AR212" s="1">
        <f t="shared" si="290"/>
        <v>2633.8784000000005</v>
      </c>
      <c r="AS212" s="1">
        <f t="shared" si="291"/>
        <v>75.097499999999997</v>
      </c>
      <c r="AT212" s="1">
        <f t="shared" si="268"/>
        <v>1053.5513600000002</v>
      </c>
      <c r="AU212" s="1">
        <v>1112.2934330160003</v>
      </c>
      <c r="AV212" s="1">
        <f t="shared" si="269"/>
        <v>33.042900000000003</v>
      </c>
      <c r="AW212" s="1">
        <f t="shared" si="270"/>
        <v>1053.5513600000002</v>
      </c>
      <c r="AX212" s="1">
        <f t="shared" si="271"/>
        <v>1000.8737920000001</v>
      </c>
      <c r="AY212" s="1">
        <f t="shared" si="284"/>
        <v>927.12519680000014</v>
      </c>
      <c r="AZ212" s="1">
        <v>0</v>
      </c>
      <c r="BA212" s="1">
        <v>0</v>
      </c>
      <c r="BB212" s="1">
        <v>0</v>
      </c>
      <c r="BC212" s="1">
        <f t="shared" si="239"/>
        <v>1053.5513600000002</v>
      </c>
      <c r="BD212" s="1">
        <f t="shared" si="240"/>
        <v>1158.9064960000003</v>
      </c>
      <c r="BE212" s="1">
        <f t="shared" si="241"/>
        <v>948.19622400000014</v>
      </c>
      <c r="BF212" s="1">
        <v>0</v>
      </c>
      <c r="BG212" s="1">
        <v>0</v>
      </c>
      <c r="BH212" s="1">
        <v>0</v>
      </c>
      <c r="BI212" s="1">
        <f t="shared" si="273"/>
        <v>1264.2616320000002</v>
      </c>
      <c r="BJ212" s="1">
        <f t="shared" si="274"/>
        <v>1053.5513600000002</v>
      </c>
      <c r="BK212" s="2">
        <f t="shared" si="275"/>
        <v>1000.8737920000001</v>
      </c>
      <c r="BL212" s="1">
        <f t="shared" si="276"/>
        <v>1053.5513600000002</v>
      </c>
      <c r="BM212" s="1">
        <v>1531</v>
      </c>
      <c r="BN212" s="1">
        <f t="shared" si="277"/>
        <v>1053.5513600000002</v>
      </c>
      <c r="BO212" s="2">
        <f t="shared" si="278"/>
        <v>0</v>
      </c>
      <c r="BP212" s="2">
        <f t="shared" si="248"/>
        <v>3687.4297600000004</v>
      </c>
      <c r="BQ212" s="22">
        <f t="shared" si="292"/>
        <v>0.7</v>
      </c>
    </row>
    <row r="213" spans="1:69" ht="20.100000000000001" customHeight="1" x14ac:dyDescent="0.2">
      <c r="A213" s="17">
        <f t="shared" si="281"/>
        <v>211</v>
      </c>
      <c r="B213" s="24">
        <v>27570</v>
      </c>
      <c r="C213" s="18" t="s">
        <v>64</v>
      </c>
      <c r="D213" s="26" t="s">
        <v>311</v>
      </c>
      <c r="E213" s="18" t="s">
        <v>306</v>
      </c>
      <c r="F213" s="8">
        <v>3300</v>
      </c>
      <c r="G213" s="24">
        <v>360</v>
      </c>
      <c r="H213" s="12">
        <v>0</v>
      </c>
      <c r="I213" s="24">
        <v>0</v>
      </c>
      <c r="J213" s="2">
        <f t="shared" si="249"/>
        <v>1839.0158800000002</v>
      </c>
      <c r="K213" s="21" t="s">
        <v>307</v>
      </c>
      <c r="L213" s="1">
        <v>1414.6276</v>
      </c>
      <c r="M213" s="1">
        <v>50.065000000000005</v>
      </c>
      <c r="N213" s="1">
        <v>1178.3</v>
      </c>
      <c r="O213" s="1">
        <f t="shared" si="250"/>
        <v>1414.6276</v>
      </c>
      <c r="P213" s="2">
        <f t="shared" si="293"/>
        <v>1768.2845</v>
      </c>
      <c r="Q213" s="1">
        <v>0</v>
      </c>
      <c r="R213" s="1">
        <v>0</v>
      </c>
      <c r="S213" s="2">
        <f t="shared" si="251"/>
        <v>1414.6276</v>
      </c>
      <c r="T213" s="2">
        <v>1726</v>
      </c>
      <c r="V213" s="1">
        <f>340*5.9*1.063</f>
        <v>2132.3780000000002</v>
      </c>
      <c r="W213" s="2">
        <f t="shared" si="252"/>
        <v>1414.6276</v>
      </c>
      <c r="X213" s="1">
        <f t="shared" si="253"/>
        <v>1414.6276</v>
      </c>
      <c r="Y213" s="1">
        <f t="shared" si="254"/>
        <v>1414.6276</v>
      </c>
      <c r="Z213" s="1">
        <v>1093</v>
      </c>
      <c r="AA213" s="1">
        <f t="shared" si="255"/>
        <v>1343.8962199999999</v>
      </c>
      <c r="AB213" s="1">
        <f t="shared" si="285"/>
        <v>1343.8962199999999</v>
      </c>
      <c r="AC213" s="1">
        <v>0</v>
      </c>
      <c r="AD213" s="1">
        <v>0</v>
      </c>
      <c r="AE213" s="1">
        <f t="shared" si="257"/>
        <v>1414.6276</v>
      </c>
      <c r="AF213" s="1">
        <f t="shared" si="258"/>
        <v>1414.6276</v>
      </c>
      <c r="AG213" s="1">
        <v>0</v>
      </c>
      <c r="AH213" s="1">
        <f t="shared" si="286"/>
        <v>2310</v>
      </c>
      <c r="AI213" s="1">
        <f t="shared" si="260"/>
        <v>1556.0903600000001</v>
      </c>
      <c r="AJ213" s="2">
        <f t="shared" si="261"/>
        <v>1414.6276</v>
      </c>
      <c r="AK213" s="1">
        <f t="shared" si="287"/>
        <v>1923.8935360000003</v>
      </c>
      <c r="AL213" s="1">
        <f t="shared" si="263"/>
        <v>1414.6276</v>
      </c>
      <c r="AM213" s="1">
        <f t="shared" si="264"/>
        <v>1414.6276</v>
      </c>
      <c r="AN213" s="1">
        <f t="shared" si="288"/>
        <v>1414.6276</v>
      </c>
      <c r="AO213" s="1">
        <f t="shared" si="283"/>
        <v>1414.6276</v>
      </c>
      <c r="AP213" s="1">
        <f t="shared" si="289"/>
        <v>1131.70208</v>
      </c>
      <c r="AQ213" s="1">
        <f t="shared" si="265"/>
        <v>1414.6276</v>
      </c>
      <c r="AR213" s="1">
        <f t="shared" si="290"/>
        <v>1650</v>
      </c>
      <c r="AS213" s="1">
        <f t="shared" si="291"/>
        <v>125.16250000000001</v>
      </c>
      <c r="AT213" s="1">
        <f t="shared" si="268"/>
        <v>1414.6276</v>
      </c>
      <c r="AU213" s="1">
        <v>1493.5019301225004</v>
      </c>
      <c r="AV213" s="1">
        <f t="shared" si="269"/>
        <v>55.071500000000007</v>
      </c>
      <c r="AW213" s="1">
        <f t="shared" si="270"/>
        <v>1414.6276</v>
      </c>
      <c r="AX213" s="1">
        <f t="shared" si="271"/>
        <v>1343.8962199999999</v>
      </c>
      <c r="AY213" s="1">
        <f t="shared" si="284"/>
        <v>1244.872288</v>
      </c>
      <c r="AZ213" s="1">
        <v>0</v>
      </c>
      <c r="BA213" s="1">
        <v>0</v>
      </c>
      <c r="BB213" s="1">
        <v>0</v>
      </c>
      <c r="BC213" s="1">
        <f t="shared" si="239"/>
        <v>1414.6276</v>
      </c>
      <c r="BD213" s="1">
        <f t="shared" si="240"/>
        <v>1556.0903600000001</v>
      </c>
      <c r="BE213" s="1">
        <f t="shared" si="241"/>
        <v>1273.1648400000001</v>
      </c>
      <c r="BF213" s="1">
        <v>0</v>
      </c>
      <c r="BG213" s="1">
        <v>0</v>
      </c>
      <c r="BH213" s="1">
        <v>0</v>
      </c>
      <c r="BI213" s="1">
        <f t="shared" si="273"/>
        <v>1697.55312</v>
      </c>
      <c r="BJ213" s="1">
        <f t="shared" si="274"/>
        <v>1414.6276</v>
      </c>
      <c r="BK213" s="1">
        <f t="shared" si="275"/>
        <v>1343.8962199999999</v>
      </c>
      <c r="BL213" s="1">
        <f t="shared" si="276"/>
        <v>1414.6276</v>
      </c>
      <c r="BM213" s="1">
        <v>1531</v>
      </c>
      <c r="BN213" s="1">
        <f t="shared" si="277"/>
        <v>1414.6276</v>
      </c>
      <c r="BO213" s="1">
        <f t="shared" si="278"/>
        <v>0</v>
      </c>
      <c r="BP213" s="1">
        <f t="shared" si="248"/>
        <v>2310</v>
      </c>
      <c r="BQ213" s="22">
        <f t="shared" si="292"/>
        <v>0.7</v>
      </c>
    </row>
    <row r="214" spans="1:69" ht="20.100000000000001" customHeight="1" x14ac:dyDescent="0.2">
      <c r="A214" s="17">
        <f t="shared" si="281"/>
        <v>212</v>
      </c>
      <c r="B214" s="24">
        <v>43235</v>
      </c>
      <c r="C214" s="18" t="s">
        <v>64</v>
      </c>
      <c r="D214" s="26" t="s">
        <v>312</v>
      </c>
      <c r="E214" s="18" t="s">
        <v>306</v>
      </c>
      <c r="F214" s="8">
        <f>L214*5</f>
        <v>4112.768</v>
      </c>
      <c r="G214" s="24">
        <v>360</v>
      </c>
      <c r="H214" s="12">
        <v>0</v>
      </c>
      <c r="I214" s="24">
        <v>0</v>
      </c>
      <c r="J214" s="2">
        <f t="shared" si="249"/>
        <v>1069.3196800000001</v>
      </c>
      <c r="K214" s="21" t="s">
        <v>307</v>
      </c>
      <c r="L214" s="2">
        <v>822.55360000000007</v>
      </c>
      <c r="M214" s="2">
        <v>35.045500000000004</v>
      </c>
      <c r="N214" s="1">
        <v>1178.3</v>
      </c>
      <c r="O214" s="1">
        <f t="shared" si="250"/>
        <v>822.55360000000007</v>
      </c>
      <c r="P214" s="2">
        <f t="shared" si="293"/>
        <v>1028.192</v>
      </c>
      <c r="Q214" s="1">
        <v>0</v>
      </c>
      <c r="R214" s="1">
        <v>0</v>
      </c>
      <c r="S214" s="2">
        <f t="shared" si="251"/>
        <v>822.55360000000007</v>
      </c>
      <c r="T214" s="2">
        <v>2462</v>
      </c>
      <c r="V214" s="1">
        <f>340*5.9*1.063</f>
        <v>2132.3780000000002</v>
      </c>
      <c r="W214" s="2">
        <f t="shared" si="252"/>
        <v>822.55360000000007</v>
      </c>
      <c r="X214" s="1">
        <f t="shared" si="253"/>
        <v>822.55360000000007</v>
      </c>
      <c r="Y214" s="1">
        <f t="shared" si="254"/>
        <v>822.55360000000007</v>
      </c>
      <c r="Z214" s="1">
        <v>1093</v>
      </c>
      <c r="AA214" s="1">
        <f t="shared" si="255"/>
        <v>781.42592000000002</v>
      </c>
      <c r="AB214" s="1">
        <f t="shared" si="285"/>
        <v>781.42592000000002</v>
      </c>
      <c r="AC214" s="1">
        <v>0</v>
      </c>
      <c r="AD214" s="1">
        <v>0</v>
      </c>
      <c r="AE214" s="1">
        <f t="shared" si="257"/>
        <v>822.55360000000007</v>
      </c>
      <c r="AF214" s="1">
        <f t="shared" si="258"/>
        <v>822.55360000000007</v>
      </c>
      <c r="AG214" s="1">
        <v>0</v>
      </c>
      <c r="AH214" s="1">
        <f t="shared" si="286"/>
        <v>2878.9375999999997</v>
      </c>
      <c r="AI214" s="1">
        <f t="shared" si="260"/>
        <v>904.80896000000018</v>
      </c>
      <c r="AJ214" s="2">
        <f t="shared" si="261"/>
        <v>822.55360000000007</v>
      </c>
      <c r="AK214" s="1">
        <f t="shared" si="287"/>
        <v>1118.6728960000003</v>
      </c>
      <c r="AL214" s="1">
        <f t="shared" si="263"/>
        <v>822.55360000000007</v>
      </c>
      <c r="AM214" s="1">
        <f t="shared" si="264"/>
        <v>822.55360000000007</v>
      </c>
      <c r="AN214" s="1">
        <f t="shared" si="288"/>
        <v>822.55360000000007</v>
      </c>
      <c r="AO214" s="1">
        <f t="shared" si="283"/>
        <v>822.55360000000007</v>
      </c>
      <c r="AP214" s="1">
        <f t="shared" si="289"/>
        <v>658.04288000000008</v>
      </c>
      <c r="AQ214" s="1">
        <f t="shared" si="265"/>
        <v>822.55360000000007</v>
      </c>
      <c r="AR214" s="1">
        <f t="shared" si="290"/>
        <v>2056.384</v>
      </c>
      <c r="AS214" s="1">
        <f t="shared" si="291"/>
        <v>87.61375000000001</v>
      </c>
      <c r="AT214" s="1">
        <f t="shared" si="268"/>
        <v>822.55360000000007</v>
      </c>
      <c r="AU214" s="1">
        <v>868.41610416000026</v>
      </c>
      <c r="AV214" s="1">
        <f t="shared" si="269"/>
        <v>38.550050000000006</v>
      </c>
      <c r="AW214" s="1">
        <f t="shared" si="270"/>
        <v>822.55360000000007</v>
      </c>
      <c r="AX214" s="1">
        <f t="shared" si="271"/>
        <v>781.42592000000002</v>
      </c>
      <c r="AY214" s="1">
        <f t="shared" si="284"/>
        <v>723.84716800000012</v>
      </c>
      <c r="AZ214" s="1">
        <v>0</v>
      </c>
      <c r="BA214" s="1">
        <v>0</v>
      </c>
      <c r="BB214" s="1">
        <v>0</v>
      </c>
      <c r="BC214" s="1">
        <f t="shared" si="239"/>
        <v>822.55360000000007</v>
      </c>
      <c r="BD214" s="1">
        <f t="shared" si="240"/>
        <v>904.80896000000018</v>
      </c>
      <c r="BE214" s="1">
        <f t="shared" si="241"/>
        <v>740.29824000000008</v>
      </c>
      <c r="BF214" s="1">
        <v>0</v>
      </c>
      <c r="BG214" s="1">
        <v>0</v>
      </c>
      <c r="BH214" s="1">
        <v>0</v>
      </c>
      <c r="BI214" s="1">
        <f t="shared" si="273"/>
        <v>987.06432000000007</v>
      </c>
      <c r="BJ214" s="1">
        <f t="shared" si="274"/>
        <v>822.55360000000007</v>
      </c>
      <c r="BK214" s="2">
        <f t="shared" si="275"/>
        <v>781.42592000000002</v>
      </c>
      <c r="BL214" s="1">
        <f t="shared" si="276"/>
        <v>822.55360000000007</v>
      </c>
      <c r="BM214" s="1">
        <v>1531</v>
      </c>
      <c r="BN214" s="1">
        <f t="shared" si="277"/>
        <v>822.55360000000007</v>
      </c>
      <c r="BO214" s="2">
        <f t="shared" si="278"/>
        <v>0</v>
      </c>
      <c r="BP214" s="2">
        <f t="shared" si="248"/>
        <v>2878.9375999999997</v>
      </c>
      <c r="BQ214" s="22">
        <f t="shared" si="292"/>
        <v>0.7</v>
      </c>
    </row>
    <row r="215" spans="1:69" ht="20.100000000000001" customHeight="1" x14ac:dyDescent="0.2">
      <c r="A215" s="17">
        <f t="shared" si="281"/>
        <v>213</v>
      </c>
      <c r="B215" s="24">
        <v>43450</v>
      </c>
      <c r="C215" s="18" t="s">
        <v>64</v>
      </c>
      <c r="D215" s="26" t="s">
        <v>313</v>
      </c>
      <c r="E215" s="18" t="s">
        <v>306</v>
      </c>
      <c r="F215" s="8">
        <f>L215*5</f>
        <v>4112.768</v>
      </c>
      <c r="G215" s="24">
        <v>360</v>
      </c>
      <c r="H215" s="12">
        <v>0</v>
      </c>
      <c r="I215" s="24">
        <v>0</v>
      </c>
      <c r="J215" s="2">
        <f t="shared" si="249"/>
        <v>1069.3196800000001</v>
      </c>
      <c r="K215" s="21" t="s">
        <v>307</v>
      </c>
      <c r="L215" s="2">
        <v>822.55360000000007</v>
      </c>
      <c r="M215" s="2">
        <v>30.039000000000001</v>
      </c>
      <c r="N215" s="1">
        <v>1178.3</v>
      </c>
      <c r="O215" s="1">
        <f t="shared" si="250"/>
        <v>822.55360000000007</v>
      </c>
      <c r="P215" s="2">
        <f t="shared" si="293"/>
        <v>1028.192</v>
      </c>
      <c r="Q215" s="1">
        <v>0</v>
      </c>
      <c r="R215" s="1">
        <v>0</v>
      </c>
      <c r="S215" s="2">
        <f t="shared" si="251"/>
        <v>822.55360000000007</v>
      </c>
      <c r="T215" s="2">
        <v>1726</v>
      </c>
      <c r="V215" s="1">
        <f>340*5.9*1.063</f>
        <v>2132.3780000000002</v>
      </c>
      <c r="W215" s="2">
        <f t="shared" si="252"/>
        <v>822.55360000000007</v>
      </c>
      <c r="X215" s="1">
        <f t="shared" si="253"/>
        <v>822.55360000000007</v>
      </c>
      <c r="Y215" s="1">
        <f t="shared" si="254"/>
        <v>822.55360000000007</v>
      </c>
      <c r="Z215" s="1">
        <v>1093</v>
      </c>
      <c r="AA215" s="1">
        <f t="shared" si="255"/>
        <v>781.42592000000002</v>
      </c>
      <c r="AB215" s="1">
        <f t="shared" si="285"/>
        <v>781.42592000000002</v>
      </c>
      <c r="AC215" s="1">
        <v>0</v>
      </c>
      <c r="AD215" s="1">
        <v>0</v>
      </c>
      <c r="AE215" s="1">
        <f t="shared" si="257"/>
        <v>822.55360000000007</v>
      </c>
      <c r="AF215" s="1">
        <f t="shared" si="258"/>
        <v>822.55360000000007</v>
      </c>
      <c r="AG215" s="1">
        <v>0</v>
      </c>
      <c r="AH215" s="1">
        <f t="shared" si="286"/>
        <v>2878.9375999999997</v>
      </c>
      <c r="AI215" s="1">
        <f t="shared" si="260"/>
        <v>904.80896000000018</v>
      </c>
      <c r="AJ215" s="2">
        <f t="shared" si="261"/>
        <v>822.55360000000007</v>
      </c>
      <c r="AK215" s="1">
        <f t="shared" si="287"/>
        <v>1118.6728960000003</v>
      </c>
      <c r="AL215" s="1">
        <f t="shared" si="263"/>
        <v>822.55360000000007</v>
      </c>
      <c r="AM215" s="1">
        <f t="shared" si="264"/>
        <v>822.55360000000007</v>
      </c>
      <c r="AN215" s="1">
        <f t="shared" si="288"/>
        <v>822.55360000000007</v>
      </c>
      <c r="AO215" s="1">
        <f t="shared" si="283"/>
        <v>822.55360000000007</v>
      </c>
      <c r="AP215" s="1">
        <f t="shared" si="289"/>
        <v>658.04288000000008</v>
      </c>
      <c r="AQ215" s="1">
        <f t="shared" si="265"/>
        <v>822.55360000000007</v>
      </c>
      <c r="AR215" s="1">
        <f t="shared" si="290"/>
        <v>2056.384</v>
      </c>
      <c r="AS215" s="1">
        <f t="shared" si="291"/>
        <v>75.097499999999997</v>
      </c>
      <c r="AT215" s="1">
        <f t="shared" si="268"/>
        <v>822.55360000000007</v>
      </c>
      <c r="AU215" s="1">
        <v>868.41610416000026</v>
      </c>
      <c r="AV215" s="1">
        <f t="shared" si="269"/>
        <v>33.042900000000003</v>
      </c>
      <c r="AW215" s="1">
        <f t="shared" si="270"/>
        <v>822.55360000000007</v>
      </c>
      <c r="AX215" s="1">
        <f t="shared" si="271"/>
        <v>781.42592000000002</v>
      </c>
      <c r="AY215" s="1">
        <f t="shared" si="284"/>
        <v>723.84716800000012</v>
      </c>
      <c r="AZ215" s="1">
        <v>0</v>
      </c>
      <c r="BA215" s="1">
        <v>0</v>
      </c>
      <c r="BB215" s="1">
        <v>0</v>
      </c>
      <c r="BC215" s="1">
        <f t="shared" si="239"/>
        <v>822.55360000000007</v>
      </c>
      <c r="BD215" s="1">
        <f t="shared" si="240"/>
        <v>904.80896000000018</v>
      </c>
      <c r="BE215" s="1">
        <f t="shared" si="241"/>
        <v>740.29824000000008</v>
      </c>
      <c r="BF215" s="1">
        <v>0</v>
      </c>
      <c r="BG215" s="1">
        <v>0</v>
      </c>
      <c r="BH215" s="1">
        <v>0</v>
      </c>
      <c r="BI215" s="1">
        <f t="shared" si="273"/>
        <v>987.06432000000007</v>
      </c>
      <c r="BJ215" s="1">
        <f t="shared" si="274"/>
        <v>822.55360000000007</v>
      </c>
      <c r="BK215" s="2">
        <f t="shared" si="275"/>
        <v>781.42592000000002</v>
      </c>
      <c r="BL215" s="1">
        <f t="shared" si="276"/>
        <v>822.55360000000007</v>
      </c>
      <c r="BM215" s="1">
        <v>1531</v>
      </c>
      <c r="BN215" s="1">
        <f t="shared" si="277"/>
        <v>822.55360000000007</v>
      </c>
      <c r="BO215" s="2">
        <f t="shared" si="278"/>
        <v>0</v>
      </c>
      <c r="BP215" s="2">
        <f t="shared" si="248"/>
        <v>2878.9375999999997</v>
      </c>
      <c r="BQ215" s="22">
        <f t="shared" si="292"/>
        <v>0.7</v>
      </c>
    </row>
    <row r="216" spans="1:69" ht="20.100000000000001" customHeight="1" x14ac:dyDescent="0.2">
      <c r="A216" s="17">
        <f t="shared" si="281"/>
        <v>214</v>
      </c>
      <c r="B216" s="24">
        <v>47562</v>
      </c>
      <c r="C216" s="18" t="s">
        <v>64</v>
      </c>
      <c r="D216" s="26" t="s">
        <v>314</v>
      </c>
      <c r="E216" s="18" t="s">
        <v>306</v>
      </c>
      <c r="F216" s="8">
        <v>8805</v>
      </c>
      <c r="G216" s="24">
        <v>360</v>
      </c>
      <c r="H216" s="12">
        <v>0</v>
      </c>
      <c r="I216" s="24">
        <v>0</v>
      </c>
      <c r="J216" s="2">
        <f t="shared" si="249"/>
        <v>6683.8291520000002</v>
      </c>
      <c r="K216" s="21" t="s">
        <v>307</v>
      </c>
      <c r="L216" s="2">
        <v>5141.4070400000001</v>
      </c>
      <c r="M216" s="2">
        <v>155.20150000000001</v>
      </c>
      <c r="N216" s="1">
        <v>3907</v>
      </c>
      <c r="O216" s="1">
        <f t="shared" si="250"/>
        <v>5141.4070400000001</v>
      </c>
      <c r="P216" s="2">
        <f t="shared" si="293"/>
        <v>6426.7587999999996</v>
      </c>
      <c r="Q216" s="1">
        <v>0</v>
      </c>
      <c r="R216" s="1">
        <v>0</v>
      </c>
      <c r="S216" s="2">
        <f t="shared" si="251"/>
        <v>5141.4070400000001</v>
      </c>
      <c r="T216" s="1">
        <v>6305</v>
      </c>
      <c r="U216" s="1"/>
      <c r="V216" s="1">
        <f>1015*5.9*1.063</f>
        <v>6365.7754999999997</v>
      </c>
      <c r="W216" s="2">
        <f t="shared" si="252"/>
        <v>5141.4070400000001</v>
      </c>
      <c r="X216" s="1">
        <f t="shared" si="253"/>
        <v>5141.4070400000001</v>
      </c>
      <c r="Y216" s="1">
        <f t="shared" si="254"/>
        <v>5141.4070400000001</v>
      </c>
      <c r="Z216" s="1">
        <v>3462</v>
      </c>
      <c r="AA216" s="1">
        <f t="shared" si="255"/>
        <v>4884.3366879999994</v>
      </c>
      <c r="AB216" s="1">
        <f t="shared" si="285"/>
        <v>4884.3366879999994</v>
      </c>
      <c r="AC216" s="1">
        <v>0</v>
      </c>
      <c r="AD216" s="1">
        <v>0</v>
      </c>
      <c r="AE216" s="1">
        <f t="shared" si="257"/>
        <v>5141.4070400000001</v>
      </c>
      <c r="AF216" s="1">
        <f t="shared" si="258"/>
        <v>5141.4070400000001</v>
      </c>
      <c r="AG216" s="1">
        <v>0</v>
      </c>
      <c r="AH216" s="1">
        <f t="shared" si="286"/>
        <v>6163.5</v>
      </c>
      <c r="AI216" s="1">
        <f t="shared" si="260"/>
        <v>5655.5477440000004</v>
      </c>
      <c r="AJ216" s="2">
        <f t="shared" si="261"/>
        <v>5141.4070400000001</v>
      </c>
      <c r="AK216" s="1">
        <f t="shared" si="287"/>
        <v>6992.313574400001</v>
      </c>
      <c r="AL216" s="1">
        <f t="shared" si="263"/>
        <v>5141.4070400000001</v>
      </c>
      <c r="AM216" s="1">
        <f t="shared" si="264"/>
        <v>5141.4070400000001</v>
      </c>
      <c r="AN216" s="1">
        <f t="shared" si="288"/>
        <v>5141.4070400000001</v>
      </c>
      <c r="AO216" s="1">
        <f t="shared" si="283"/>
        <v>5141.4070400000001</v>
      </c>
      <c r="AP216" s="1">
        <f t="shared" si="289"/>
        <v>4113.1256320000002</v>
      </c>
      <c r="AQ216" s="1">
        <f t="shared" si="265"/>
        <v>5141.4070400000001</v>
      </c>
      <c r="AR216" s="1">
        <f t="shared" si="290"/>
        <v>4402.5</v>
      </c>
      <c r="AS216" s="1">
        <f t="shared" si="291"/>
        <v>388.00375000000003</v>
      </c>
      <c r="AT216" s="1">
        <f t="shared" si="268"/>
        <v>5141.4070400000001</v>
      </c>
      <c r="AU216" s="1">
        <v>5428.0726162740011</v>
      </c>
      <c r="AV216" s="1">
        <f t="shared" si="269"/>
        <v>170.72165000000001</v>
      </c>
      <c r="AW216" s="1">
        <f t="shared" si="270"/>
        <v>5141.4070400000001</v>
      </c>
      <c r="AX216" s="1">
        <f t="shared" si="271"/>
        <v>4884.3366879999994</v>
      </c>
      <c r="AY216" s="1">
        <f t="shared" si="284"/>
        <v>4524.4381952000003</v>
      </c>
      <c r="AZ216" s="1">
        <v>0</v>
      </c>
      <c r="BA216" s="1">
        <v>0</v>
      </c>
      <c r="BB216" s="1">
        <v>0</v>
      </c>
      <c r="BC216" s="1">
        <f t="shared" si="239"/>
        <v>5141.4070400000001</v>
      </c>
      <c r="BD216" s="1">
        <f t="shared" si="240"/>
        <v>5655.5477440000004</v>
      </c>
      <c r="BE216" s="1">
        <f t="shared" si="241"/>
        <v>4627.2663360000006</v>
      </c>
      <c r="BF216" s="1">
        <v>0</v>
      </c>
      <c r="BG216" s="1">
        <v>0</v>
      </c>
      <c r="BH216" s="1">
        <v>0</v>
      </c>
      <c r="BI216" s="1">
        <f t="shared" si="273"/>
        <v>6169.6884479999999</v>
      </c>
      <c r="BJ216" s="1">
        <f t="shared" si="274"/>
        <v>5141.4070400000001</v>
      </c>
      <c r="BK216" s="2">
        <f t="shared" si="275"/>
        <v>4884.3366879999994</v>
      </c>
      <c r="BL216" s="1">
        <f t="shared" si="276"/>
        <v>5141.4070400000001</v>
      </c>
      <c r="BM216" s="1">
        <v>6139</v>
      </c>
      <c r="BN216" s="1">
        <f t="shared" si="277"/>
        <v>5141.4070400000001</v>
      </c>
      <c r="BO216" s="2">
        <f t="shared" si="278"/>
        <v>0</v>
      </c>
      <c r="BP216" s="2">
        <f t="shared" si="248"/>
        <v>6992.313574400001</v>
      </c>
      <c r="BQ216" s="22">
        <f t="shared" si="292"/>
        <v>0.79412987784213529</v>
      </c>
    </row>
    <row r="217" spans="1:69" ht="20.100000000000001" customHeight="1" x14ac:dyDescent="0.2">
      <c r="A217" s="17">
        <f t="shared" si="281"/>
        <v>215</v>
      </c>
      <c r="B217" s="24">
        <v>49650</v>
      </c>
      <c r="C217" s="18" t="s">
        <v>64</v>
      </c>
      <c r="D217" s="26" t="s">
        <v>315</v>
      </c>
      <c r="E217" s="18" t="s">
        <v>306</v>
      </c>
      <c r="F217" s="8">
        <v>8805</v>
      </c>
      <c r="G217" s="24">
        <v>360</v>
      </c>
      <c r="H217" s="12">
        <v>0</v>
      </c>
      <c r="I217" s="24">
        <v>0</v>
      </c>
      <c r="J217" s="2">
        <f t="shared" si="249"/>
        <v>6683.8291520000002</v>
      </c>
      <c r="K217" s="21" t="s">
        <v>307</v>
      </c>
      <c r="L217" s="2">
        <v>5141.4070400000001</v>
      </c>
      <c r="M217" s="2">
        <v>155.20150000000001</v>
      </c>
      <c r="N217" s="1">
        <v>3655.4</v>
      </c>
      <c r="O217" s="1">
        <f t="shared" si="250"/>
        <v>5141.4070400000001</v>
      </c>
      <c r="P217" s="2">
        <f t="shared" si="293"/>
        <v>6426.7587999999996</v>
      </c>
      <c r="Q217" s="1">
        <v>0</v>
      </c>
      <c r="R217" s="1">
        <v>0</v>
      </c>
      <c r="S217" s="2">
        <f t="shared" si="251"/>
        <v>5141.4070400000001</v>
      </c>
      <c r="T217" s="1">
        <v>3241</v>
      </c>
      <c r="U217" s="1"/>
      <c r="V217" s="1">
        <f>643*5.9*1.063</f>
        <v>4032.7031000000002</v>
      </c>
      <c r="W217" s="2">
        <f t="shared" si="252"/>
        <v>5141.4070400000001</v>
      </c>
      <c r="X217" s="1">
        <f t="shared" si="253"/>
        <v>5141.4070400000001</v>
      </c>
      <c r="Y217" s="1">
        <f t="shared" si="254"/>
        <v>5141.4070400000001</v>
      </c>
      <c r="Z217" s="1">
        <v>2369</v>
      </c>
      <c r="AA217" s="1">
        <f t="shared" si="255"/>
        <v>4884.3366879999994</v>
      </c>
      <c r="AB217" s="1">
        <f t="shared" si="285"/>
        <v>4884.3366879999994</v>
      </c>
      <c r="AC217" s="1">
        <v>0</v>
      </c>
      <c r="AD217" s="1">
        <v>0</v>
      </c>
      <c r="AE217" s="1">
        <f t="shared" si="257"/>
        <v>5141.4070400000001</v>
      </c>
      <c r="AF217" s="1">
        <f t="shared" si="258"/>
        <v>5141.4070400000001</v>
      </c>
      <c r="AG217" s="1">
        <v>0</v>
      </c>
      <c r="AH217" s="1">
        <f t="shared" si="286"/>
        <v>6163.5</v>
      </c>
      <c r="AI217" s="1">
        <f t="shared" si="260"/>
        <v>5655.5477440000004</v>
      </c>
      <c r="AJ217" s="2">
        <f t="shared" si="261"/>
        <v>5141.4070400000001</v>
      </c>
      <c r="AK217" s="1">
        <f t="shared" si="287"/>
        <v>6992.313574400001</v>
      </c>
      <c r="AL217" s="1">
        <f t="shared" si="263"/>
        <v>5141.4070400000001</v>
      </c>
      <c r="AM217" s="1">
        <f t="shared" si="264"/>
        <v>5141.4070400000001</v>
      </c>
      <c r="AN217" s="1">
        <f t="shared" si="288"/>
        <v>5141.4070400000001</v>
      </c>
      <c r="AO217" s="1">
        <f t="shared" si="283"/>
        <v>5141.4070400000001</v>
      </c>
      <c r="AP217" s="1">
        <f t="shared" si="289"/>
        <v>4113.1256320000002</v>
      </c>
      <c r="AQ217" s="1">
        <f t="shared" si="265"/>
        <v>5141.4070400000001</v>
      </c>
      <c r="AR217" s="1">
        <f t="shared" si="290"/>
        <v>4402.5</v>
      </c>
      <c r="AS217" s="1">
        <f t="shared" si="291"/>
        <v>388.00375000000003</v>
      </c>
      <c r="AT217" s="1">
        <f t="shared" si="268"/>
        <v>5141.4070400000001</v>
      </c>
      <c r="AU217" s="1">
        <v>5428.0726162740011</v>
      </c>
      <c r="AV217" s="1">
        <f t="shared" si="269"/>
        <v>170.72165000000001</v>
      </c>
      <c r="AW217" s="1">
        <f t="shared" si="270"/>
        <v>5141.4070400000001</v>
      </c>
      <c r="AX217" s="1">
        <f t="shared" si="271"/>
        <v>4884.3366879999994</v>
      </c>
      <c r="AY217" s="1">
        <f t="shared" si="284"/>
        <v>4524.4381952000003</v>
      </c>
      <c r="AZ217" s="1">
        <v>0</v>
      </c>
      <c r="BA217" s="1">
        <v>0</v>
      </c>
      <c r="BB217" s="1">
        <v>0</v>
      </c>
      <c r="BC217" s="1">
        <f t="shared" si="239"/>
        <v>5141.4070400000001</v>
      </c>
      <c r="BD217" s="1">
        <f t="shared" si="240"/>
        <v>5655.5477440000004</v>
      </c>
      <c r="BE217" s="1">
        <f t="shared" si="241"/>
        <v>4627.2663360000006</v>
      </c>
      <c r="BF217" s="1">
        <v>0</v>
      </c>
      <c r="BG217" s="1">
        <v>0</v>
      </c>
      <c r="BH217" s="1">
        <v>0</v>
      </c>
      <c r="BI217" s="1">
        <f t="shared" si="273"/>
        <v>6169.6884479999999</v>
      </c>
      <c r="BJ217" s="1">
        <f t="shared" si="274"/>
        <v>5141.4070400000001</v>
      </c>
      <c r="BK217" s="2">
        <f t="shared" si="275"/>
        <v>4884.3366879999994</v>
      </c>
      <c r="BL217" s="1">
        <f t="shared" si="276"/>
        <v>5141.4070400000001</v>
      </c>
      <c r="BM217" s="1">
        <v>6139</v>
      </c>
      <c r="BN217" s="1">
        <f t="shared" si="277"/>
        <v>5141.4070400000001</v>
      </c>
      <c r="BO217" s="2">
        <f t="shared" si="278"/>
        <v>0</v>
      </c>
      <c r="BP217" s="2">
        <f t="shared" si="248"/>
        <v>6992.313574400001</v>
      </c>
      <c r="BQ217" s="22">
        <f t="shared" si="292"/>
        <v>0.79412987784213529</v>
      </c>
    </row>
    <row r="218" spans="1:69" ht="20.100000000000001" customHeight="1" x14ac:dyDescent="0.2">
      <c r="A218" s="17">
        <f t="shared" si="281"/>
        <v>216</v>
      </c>
      <c r="B218" s="24">
        <v>19301</v>
      </c>
      <c r="C218" s="18" t="s">
        <v>64</v>
      </c>
      <c r="D218" s="19" t="s">
        <v>316</v>
      </c>
      <c r="E218" s="18" t="s">
        <v>306</v>
      </c>
      <c r="F218" s="8">
        <v>4767</v>
      </c>
      <c r="G218" s="24">
        <v>360</v>
      </c>
      <c r="H218" s="12">
        <v>0</v>
      </c>
      <c r="I218" s="24">
        <v>0</v>
      </c>
      <c r="J218" s="2">
        <f t="shared" si="249"/>
        <v>4170.7429919999995</v>
      </c>
      <c r="K218" s="21" t="s">
        <v>307</v>
      </c>
      <c r="L218" s="2">
        <v>3208.2638399999996</v>
      </c>
      <c r="M218" s="2">
        <v>70.091000000000008</v>
      </c>
      <c r="N218" s="1">
        <v>3341.55</v>
      </c>
      <c r="O218" s="1">
        <f t="shared" si="250"/>
        <v>3208.2638399999996</v>
      </c>
      <c r="P218" s="2">
        <f t="shared" si="293"/>
        <v>4010.3297999999995</v>
      </c>
      <c r="Q218" s="1">
        <v>0</v>
      </c>
      <c r="R218" s="1">
        <v>0</v>
      </c>
      <c r="S218" s="2">
        <f t="shared" si="251"/>
        <v>3208.2638399999996</v>
      </c>
      <c r="T218" s="2">
        <v>3030</v>
      </c>
      <c r="V218" s="1">
        <f>520*5.9*1.063</f>
        <v>3261.2839999999997</v>
      </c>
      <c r="W218" s="2">
        <f t="shared" si="252"/>
        <v>3208.2638399999996</v>
      </c>
      <c r="X218" s="1">
        <f t="shared" si="253"/>
        <v>3208.2638399999996</v>
      </c>
      <c r="Y218" s="1">
        <f t="shared" si="254"/>
        <v>3208.2638399999996</v>
      </c>
      <c r="Z218" s="1">
        <v>1820</v>
      </c>
      <c r="AA218" s="1">
        <f t="shared" si="255"/>
        <v>3047.8506479999996</v>
      </c>
      <c r="AB218" s="1">
        <f t="shared" si="285"/>
        <v>3047.8506479999996</v>
      </c>
      <c r="AC218" s="1">
        <v>0</v>
      </c>
      <c r="AD218" s="1">
        <v>0</v>
      </c>
      <c r="AE218" s="1">
        <f t="shared" si="257"/>
        <v>3208.2638399999996</v>
      </c>
      <c r="AF218" s="1">
        <f t="shared" si="258"/>
        <v>3208.2638399999996</v>
      </c>
      <c r="AG218" s="1">
        <v>0</v>
      </c>
      <c r="AH218" s="1">
        <f t="shared" si="286"/>
        <v>3336.8999999999996</v>
      </c>
      <c r="AI218" s="1">
        <f t="shared" si="260"/>
        <v>3529.090224</v>
      </c>
      <c r="AJ218" s="2">
        <f t="shared" si="261"/>
        <v>3208.2638399999996</v>
      </c>
      <c r="AK218" s="1">
        <f t="shared" si="287"/>
        <v>4363.2388223999997</v>
      </c>
      <c r="AL218" s="1">
        <f t="shared" si="263"/>
        <v>3208.2638399999996</v>
      </c>
      <c r="AM218" s="1">
        <f t="shared" si="264"/>
        <v>3208.2638399999996</v>
      </c>
      <c r="AN218" s="1">
        <f t="shared" si="288"/>
        <v>3208.2638399999996</v>
      </c>
      <c r="AO218" s="1">
        <f t="shared" si="283"/>
        <v>3208.2638399999996</v>
      </c>
      <c r="AP218" s="1">
        <f t="shared" si="289"/>
        <v>2566.6110719999997</v>
      </c>
      <c r="AQ218" s="1">
        <f t="shared" si="265"/>
        <v>3208.2638399999996</v>
      </c>
      <c r="AR218" s="1">
        <f t="shared" si="290"/>
        <v>2383.5</v>
      </c>
      <c r="AS218" s="1">
        <f t="shared" si="291"/>
        <v>175.22750000000002</v>
      </c>
      <c r="AT218" s="1">
        <f t="shared" si="268"/>
        <v>3208.2638399999996</v>
      </c>
      <c r="AU218" s="1">
        <v>3387.1446007290001</v>
      </c>
      <c r="AV218" s="1">
        <f t="shared" si="269"/>
        <v>77.100100000000012</v>
      </c>
      <c r="AW218" s="1">
        <f t="shared" si="270"/>
        <v>3208.2638399999996</v>
      </c>
      <c r="AX218" s="1">
        <f t="shared" si="271"/>
        <v>3047.8506479999996</v>
      </c>
      <c r="AY218" s="1">
        <f t="shared" si="284"/>
        <v>2823.2721791999998</v>
      </c>
      <c r="AZ218" s="1">
        <v>0</v>
      </c>
      <c r="BA218" s="1">
        <v>0</v>
      </c>
      <c r="BB218" s="1">
        <v>0</v>
      </c>
      <c r="BC218" s="1">
        <f t="shared" si="239"/>
        <v>3208.2638399999996</v>
      </c>
      <c r="BD218" s="1">
        <f t="shared" si="240"/>
        <v>3529.090224</v>
      </c>
      <c r="BE218" s="1">
        <f t="shared" si="241"/>
        <v>2887.4374559999997</v>
      </c>
      <c r="BF218" s="1">
        <v>0</v>
      </c>
      <c r="BG218" s="1">
        <v>0</v>
      </c>
      <c r="BH218" s="1">
        <v>0</v>
      </c>
      <c r="BI218" s="1">
        <f t="shared" si="273"/>
        <v>3849.9166079999995</v>
      </c>
      <c r="BJ218" s="1">
        <f t="shared" si="274"/>
        <v>3208.2638399999996</v>
      </c>
      <c r="BK218" s="2">
        <f t="shared" si="275"/>
        <v>3047.8506479999996</v>
      </c>
      <c r="BL218" s="1">
        <f t="shared" si="276"/>
        <v>3208.2638399999996</v>
      </c>
      <c r="BM218" s="1">
        <v>3067</v>
      </c>
      <c r="BN218" s="1">
        <f t="shared" si="277"/>
        <v>3208.2638399999996</v>
      </c>
      <c r="BO218" s="2">
        <f t="shared" si="278"/>
        <v>0</v>
      </c>
      <c r="BP218" s="2">
        <f t="shared" si="248"/>
        <v>4363.2388223999997</v>
      </c>
      <c r="BQ218" s="22">
        <f t="shared" ref="BQ218:BQ233" si="294">BP218/F218</f>
        <v>0.91530078086847066</v>
      </c>
    </row>
    <row r="219" spans="1:69" ht="20.100000000000001" customHeight="1" x14ac:dyDescent="0.2">
      <c r="A219" s="17">
        <f t="shared" si="281"/>
        <v>217</v>
      </c>
      <c r="B219" s="24">
        <v>45331</v>
      </c>
      <c r="C219" s="18" t="s">
        <v>64</v>
      </c>
      <c r="D219" s="19" t="s">
        <v>317</v>
      </c>
      <c r="E219" s="18" t="s">
        <v>306</v>
      </c>
      <c r="F219" s="8">
        <f>L219*5</f>
        <v>4031.7419999999997</v>
      </c>
      <c r="G219" s="24">
        <v>360</v>
      </c>
      <c r="H219" s="12">
        <v>0</v>
      </c>
      <c r="I219" s="24">
        <v>0</v>
      </c>
      <c r="J219" s="2">
        <f t="shared" si="249"/>
        <v>1048.2529199999999</v>
      </c>
      <c r="K219" s="21" t="s">
        <v>307</v>
      </c>
      <c r="L219" s="2">
        <v>806.34839999999997</v>
      </c>
      <c r="M219" s="2">
        <v>50.065000000000005</v>
      </c>
      <c r="N219" s="1">
        <v>1178.3</v>
      </c>
      <c r="O219" s="1">
        <f t="shared" si="250"/>
        <v>806.34839999999997</v>
      </c>
      <c r="P219" s="2">
        <f t="shared" si="293"/>
        <v>1007.9354999999999</v>
      </c>
      <c r="Q219" s="1">
        <v>0</v>
      </c>
      <c r="R219" s="1">
        <v>0</v>
      </c>
      <c r="S219" s="2">
        <f t="shared" si="251"/>
        <v>806.34839999999997</v>
      </c>
      <c r="T219" s="2">
        <v>1726</v>
      </c>
      <c r="V219" s="1">
        <f>340*5.9*1.063</f>
        <v>2132.3780000000002</v>
      </c>
      <c r="W219" s="2">
        <f t="shared" si="252"/>
        <v>806.34839999999997</v>
      </c>
      <c r="X219" s="1">
        <f t="shared" si="253"/>
        <v>806.34839999999997</v>
      </c>
      <c r="Y219" s="1">
        <f t="shared" si="254"/>
        <v>806.34839999999997</v>
      </c>
      <c r="Z219" s="1">
        <v>1093</v>
      </c>
      <c r="AA219" s="1">
        <f t="shared" si="255"/>
        <v>766.03097999999989</v>
      </c>
      <c r="AB219" s="1">
        <f t="shared" si="285"/>
        <v>766.03097999999989</v>
      </c>
      <c r="AC219" s="1">
        <v>0</v>
      </c>
      <c r="AD219" s="1">
        <v>0</v>
      </c>
      <c r="AE219" s="1">
        <f t="shared" si="257"/>
        <v>806.34839999999997</v>
      </c>
      <c r="AF219" s="1">
        <f t="shared" si="258"/>
        <v>806.34839999999997</v>
      </c>
      <c r="AG219" s="1">
        <v>0</v>
      </c>
      <c r="AH219" s="1">
        <f t="shared" si="286"/>
        <v>2822.2193999999995</v>
      </c>
      <c r="AI219" s="1">
        <f t="shared" si="260"/>
        <v>886.98324000000002</v>
      </c>
      <c r="AJ219" s="2">
        <f t="shared" si="261"/>
        <v>806.34839999999997</v>
      </c>
      <c r="AK219" s="1">
        <f t="shared" si="287"/>
        <v>1096.633824</v>
      </c>
      <c r="AL219" s="1">
        <f t="shared" si="263"/>
        <v>806.34839999999997</v>
      </c>
      <c r="AM219" s="1">
        <f t="shared" si="264"/>
        <v>806.34839999999997</v>
      </c>
      <c r="AN219" s="1">
        <f t="shared" si="288"/>
        <v>806.34839999999997</v>
      </c>
      <c r="AO219" s="1">
        <f t="shared" si="283"/>
        <v>806.34839999999997</v>
      </c>
      <c r="AP219" s="1">
        <f t="shared" si="289"/>
        <v>645.07871999999998</v>
      </c>
      <c r="AQ219" s="1">
        <f t="shared" si="265"/>
        <v>806.34839999999997</v>
      </c>
      <c r="AR219" s="1">
        <f t="shared" si="290"/>
        <v>2015.8709999999999</v>
      </c>
      <c r="AS219" s="1">
        <f t="shared" si="291"/>
        <v>125.16250000000001</v>
      </c>
      <c r="AT219" s="1">
        <f t="shared" si="268"/>
        <v>806.34839999999997</v>
      </c>
      <c r="AU219" s="1">
        <v>851.30736297750013</v>
      </c>
      <c r="AV219" s="1">
        <f t="shared" si="269"/>
        <v>55.071500000000007</v>
      </c>
      <c r="AW219" s="1">
        <f t="shared" si="270"/>
        <v>806.34839999999997</v>
      </c>
      <c r="AX219" s="1">
        <f t="shared" si="271"/>
        <v>766.03097999999989</v>
      </c>
      <c r="AY219" s="1">
        <f t="shared" si="284"/>
        <v>709.586592</v>
      </c>
      <c r="AZ219" s="1">
        <v>0</v>
      </c>
      <c r="BA219" s="1">
        <v>0</v>
      </c>
      <c r="BB219" s="1">
        <v>0</v>
      </c>
      <c r="BC219" s="1">
        <f t="shared" ref="BC219:BC264" si="295">L219</f>
        <v>806.34839999999997</v>
      </c>
      <c r="BD219" s="1">
        <f t="shared" ref="BD219:BD264" si="296">L219*1.1</f>
        <v>886.98324000000002</v>
      </c>
      <c r="BE219" s="1">
        <f t="shared" ref="BE219:BE264" si="297">L219*0.9</f>
        <v>725.71356000000003</v>
      </c>
      <c r="BF219" s="1">
        <v>0</v>
      </c>
      <c r="BG219" s="1">
        <v>0</v>
      </c>
      <c r="BH219" s="1">
        <v>0</v>
      </c>
      <c r="BI219" s="1">
        <f t="shared" si="273"/>
        <v>967.61807999999996</v>
      </c>
      <c r="BJ219" s="1">
        <f t="shared" si="274"/>
        <v>806.34839999999997</v>
      </c>
      <c r="BK219" s="2">
        <f t="shared" si="275"/>
        <v>766.03097999999989</v>
      </c>
      <c r="BL219" s="1">
        <f t="shared" si="276"/>
        <v>806.34839999999997</v>
      </c>
      <c r="BM219" s="1">
        <v>986</v>
      </c>
      <c r="BN219" s="1">
        <f t="shared" si="277"/>
        <v>806.34839999999997</v>
      </c>
      <c r="BO219" s="2">
        <f>MIN(L219:BN219)</f>
        <v>0</v>
      </c>
      <c r="BP219" s="2">
        <f>MAX(L219:BN219)</f>
        <v>2822.2193999999995</v>
      </c>
      <c r="BQ219" s="22">
        <f t="shared" si="294"/>
        <v>0.7</v>
      </c>
    </row>
    <row r="220" spans="1:69" ht="20.100000000000001" customHeight="1" x14ac:dyDescent="0.2">
      <c r="A220" s="17">
        <f t="shared" si="281"/>
        <v>218</v>
      </c>
      <c r="B220" s="24">
        <v>45381</v>
      </c>
      <c r="C220" s="18" t="s">
        <v>64</v>
      </c>
      <c r="D220" s="19" t="s">
        <v>318</v>
      </c>
      <c r="E220" s="18" t="s">
        <v>306</v>
      </c>
      <c r="F220" s="8">
        <f>L220*5</f>
        <v>5267.756800000001</v>
      </c>
      <c r="G220" s="24">
        <v>360</v>
      </c>
      <c r="H220" s="12">
        <v>0</v>
      </c>
      <c r="I220" s="24">
        <v>0</v>
      </c>
      <c r="J220" s="2">
        <f t="shared" si="249"/>
        <v>1369.6167680000003</v>
      </c>
      <c r="K220" s="21" t="s">
        <v>307</v>
      </c>
      <c r="L220" s="2">
        <v>1053.5513600000002</v>
      </c>
      <c r="M220" s="2">
        <v>30.039000000000001</v>
      </c>
      <c r="N220" s="1">
        <v>2150.5500000000002</v>
      </c>
      <c r="O220" s="1">
        <f t="shared" si="250"/>
        <v>1053.5513600000002</v>
      </c>
      <c r="P220" s="2">
        <f t="shared" si="293"/>
        <v>1316.9392000000003</v>
      </c>
      <c r="Q220" s="1">
        <v>0</v>
      </c>
      <c r="R220" s="1">
        <v>0</v>
      </c>
      <c r="S220" s="2">
        <f t="shared" si="251"/>
        <v>1053.5513600000002</v>
      </c>
      <c r="T220" s="2">
        <v>1726</v>
      </c>
      <c r="V220" s="1">
        <f>455*5.9*1.063</f>
        <v>2853.6234999999997</v>
      </c>
      <c r="W220" s="2">
        <f t="shared" si="252"/>
        <v>1053.5513600000002</v>
      </c>
      <c r="X220" s="1">
        <f t="shared" si="253"/>
        <v>1053.5513600000002</v>
      </c>
      <c r="Y220" s="1">
        <f t="shared" si="254"/>
        <v>1053.5513600000002</v>
      </c>
      <c r="Z220" s="1">
        <v>1454</v>
      </c>
      <c r="AA220" s="1">
        <f t="shared" si="255"/>
        <v>1000.8737920000001</v>
      </c>
      <c r="AB220" s="1">
        <f t="shared" si="285"/>
        <v>1000.8737920000001</v>
      </c>
      <c r="AC220" s="1">
        <v>0</v>
      </c>
      <c r="AD220" s="1">
        <v>0</v>
      </c>
      <c r="AE220" s="1">
        <f t="shared" si="257"/>
        <v>1053.5513600000002</v>
      </c>
      <c r="AF220" s="1">
        <f t="shared" si="258"/>
        <v>1053.5513600000002</v>
      </c>
      <c r="AG220" s="1">
        <v>0</v>
      </c>
      <c r="AH220" s="1">
        <f t="shared" si="286"/>
        <v>3687.4297600000004</v>
      </c>
      <c r="AI220" s="1">
        <f t="shared" si="260"/>
        <v>1158.9064960000003</v>
      </c>
      <c r="AJ220" s="2">
        <f t="shared" si="261"/>
        <v>1053.5513600000002</v>
      </c>
      <c r="AK220" s="1">
        <f t="shared" si="287"/>
        <v>1432.8298496000002</v>
      </c>
      <c r="AL220" s="1">
        <f t="shared" si="263"/>
        <v>1053.5513600000002</v>
      </c>
      <c r="AM220" s="1">
        <f t="shared" si="264"/>
        <v>1053.5513600000002</v>
      </c>
      <c r="AN220" s="1">
        <f t="shared" si="288"/>
        <v>1053.5513600000002</v>
      </c>
      <c r="AO220" s="1">
        <f t="shared" si="283"/>
        <v>1053.5513600000002</v>
      </c>
      <c r="AP220" s="1">
        <f t="shared" si="289"/>
        <v>842.84108800000013</v>
      </c>
      <c r="AQ220" s="1">
        <f t="shared" si="265"/>
        <v>1053.5513600000002</v>
      </c>
      <c r="AR220" s="1">
        <f t="shared" si="290"/>
        <v>2633.8784000000005</v>
      </c>
      <c r="AS220" s="1">
        <f t="shared" si="291"/>
        <v>75.097499999999997</v>
      </c>
      <c r="AT220" s="1">
        <f t="shared" si="268"/>
        <v>1053.5513600000002</v>
      </c>
      <c r="AU220" s="1">
        <v>1112.2934330160003</v>
      </c>
      <c r="AV220" s="1">
        <f t="shared" si="269"/>
        <v>33.042900000000003</v>
      </c>
      <c r="AW220" s="1">
        <f t="shared" si="270"/>
        <v>1053.5513600000002</v>
      </c>
      <c r="AX220" s="1">
        <f t="shared" si="271"/>
        <v>1000.8737920000001</v>
      </c>
      <c r="AY220" s="1">
        <f t="shared" si="284"/>
        <v>927.12519680000014</v>
      </c>
      <c r="AZ220" s="1">
        <v>0</v>
      </c>
      <c r="BA220" s="1">
        <v>0</v>
      </c>
      <c r="BB220" s="1">
        <v>0</v>
      </c>
      <c r="BC220" s="1">
        <f t="shared" si="295"/>
        <v>1053.5513600000002</v>
      </c>
      <c r="BD220" s="1">
        <f t="shared" si="296"/>
        <v>1158.9064960000003</v>
      </c>
      <c r="BE220" s="1">
        <f t="shared" si="297"/>
        <v>948.19622400000014</v>
      </c>
      <c r="BF220" s="1">
        <v>0</v>
      </c>
      <c r="BG220" s="1">
        <v>0</v>
      </c>
      <c r="BH220" s="1">
        <v>0</v>
      </c>
      <c r="BI220" s="1">
        <f t="shared" si="273"/>
        <v>1264.2616320000002</v>
      </c>
      <c r="BJ220" s="1">
        <f t="shared" si="274"/>
        <v>1053.5513600000002</v>
      </c>
      <c r="BK220" s="2">
        <f t="shared" si="275"/>
        <v>1000.8737920000001</v>
      </c>
      <c r="BL220" s="1">
        <f t="shared" si="276"/>
        <v>1053.5513600000002</v>
      </c>
      <c r="BM220" s="1">
        <v>1531</v>
      </c>
      <c r="BN220" s="1">
        <f t="shared" si="277"/>
        <v>1053.5513600000002</v>
      </c>
      <c r="BO220" s="2">
        <f t="shared" ref="BO220:BO233" si="298">MIN(N220:BN220)</f>
        <v>0</v>
      </c>
      <c r="BP220" s="2">
        <f t="shared" ref="BP220:BP251" si="299">MAX(N220:BN220)</f>
        <v>3687.4297600000004</v>
      </c>
      <c r="BQ220" s="22">
        <f t="shared" si="294"/>
        <v>0.7</v>
      </c>
    </row>
    <row r="221" spans="1:69" ht="20.100000000000001" customHeight="1" x14ac:dyDescent="0.2">
      <c r="A221" s="17">
        <f t="shared" si="281"/>
        <v>219</v>
      </c>
      <c r="B221" s="24">
        <v>64430</v>
      </c>
      <c r="C221" s="18" t="s">
        <v>64</v>
      </c>
      <c r="D221" s="26" t="s">
        <v>319</v>
      </c>
      <c r="E221" s="18" t="s">
        <v>306</v>
      </c>
      <c r="F221" s="8">
        <f>L221*5</f>
        <v>4178.0968000000003</v>
      </c>
      <c r="G221" s="24">
        <v>360</v>
      </c>
      <c r="H221" s="12">
        <v>0</v>
      </c>
      <c r="I221" s="24">
        <v>0</v>
      </c>
      <c r="J221" s="2">
        <f t="shared" si="249"/>
        <v>1086.3051680000001</v>
      </c>
      <c r="K221" s="21" t="s">
        <v>307</v>
      </c>
      <c r="L221" s="2">
        <v>835.61936000000003</v>
      </c>
      <c r="M221" s="2">
        <v>7.0091000000000001</v>
      </c>
      <c r="N221" s="1">
        <v>1178.3</v>
      </c>
      <c r="O221" s="1">
        <f t="shared" si="250"/>
        <v>835.61936000000003</v>
      </c>
      <c r="P221" s="2">
        <f t="shared" si="293"/>
        <v>1044.5242000000001</v>
      </c>
      <c r="Q221" s="1">
        <v>0</v>
      </c>
      <c r="R221" s="1">
        <v>0</v>
      </c>
      <c r="S221" s="2">
        <f t="shared" si="251"/>
        <v>835.61936000000003</v>
      </c>
      <c r="T221" s="2">
        <v>1726</v>
      </c>
      <c r="V221" s="1">
        <f>340*5.9*1.063</f>
        <v>2132.3780000000002</v>
      </c>
      <c r="W221" s="2">
        <f t="shared" si="252"/>
        <v>835.61936000000003</v>
      </c>
      <c r="X221" s="1">
        <f t="shared" si="253"/>
        <v>835.61936000000003</v>
      </c>
      <c r="Y221" s="1">
        <f t="shared" si="254"/>
        <v>835.61936000000003</v>
      </c>
      <c r="Z221" s="1">
        <v>1093</v>
      </c>
      <c r="AA221" s="1">
        <f t="shared" si="255"/>
        <v>793.838392</v>
      </c>
      <c r="AB221" s="1">
        <f t="shared" si="285"/>
        <v>793.838392</v>
      </c>
      <c r="AC221" s="1">
        <v>0</v>
      </c>
      <c r="AD221" s="1">
        <v>0</v>
      </c>
      <c r="AE221" s="1">
        <f t="shared" si="257"/>
        <v>835.61936000000003</v>
      </c>
      <c r="AF221" s="1">
        <f t="shared" si="258"/>
        <v>835.61936000000003</v>
      </c>
      <c r="AG221" s="1">
        <v>0</v>
      </c>
      <c r="AH221" s="1">
        <f t="shared" si="286"/>
        <v>2924.6677599999998</v>
      </c>
      <c r="AI221" s="1">
        <f t="shared" si="260"/>
        <v>919.18129600000009</v>
      </c>
      <c r="AJ221" s="2">
        <f t="shared" si="261"/>
        <v>835.61936000000003</v>
      </c>
      <c r="AK221" s="1">
        <f t="shared" si="287"/>
        <v>1136.4423296000002</v>
      </c>
      <c r="AL221" s="1">
        <f t="shared" si="263"/>
        <v>835.61936000000003</v>
      </c>
      <c r="AM221" s="1">
        <f t="shared" si="264"/>
        <v>835.61936000000003</v>
      </c>
      <c r="AN221" s="1">
        <f t="shared" si="288"/>
        <v>835.61936000000003</v>
      </c>
      <c r="AO221" s="1">
        <f t="shared" si="283"/>
        <v>835.61936000000003</v>
      </c>
      <c r="AP221" s="1">
        <f t="shared" si="289"/>
        <v>668.49548800000002</v>
      </c>
      <c r="AQ221" s="1">
        <f t="shared" si="265"/>
        <v>835.61936000000003</v>
      </c>
      <c r="AR221" s="1">
        <f t="shared" si="290"/>
        <v>2089.0484000000001</v>
      </c>
      <c r="AS221" s="1">
        <f t="shared" si="291"/>
        <v>17.522750000000002</v>
      </c>
      <c r="AT221" s="1">
        <f t="shared" si="268"/>
        <v>835.61936000000003</v>
      </c>
      <c r="AU221" s="1">
        <v>882.21036194100009</v>
      </c>
      <c r="AV221" s="1">
        <f t="shared" si="269"/>
        <v>7.7100100000000005</v>
      </c>
      <c r="AW221" s="1">
        <f t="shared" si="270"/>
        <v>835.61936000000003</v>
      </c>
      <c r="AX221" s="1">
        <f t="shared" si="271"/>
        <v>793.838392</v>
      </c>
      <c r="AY221" s="1">
        <f t="shared" si="284"/>
        <v>735.3450368</v>
      </c>
      <c r="AZ221" s="1">
        <v>0</v>
      </c>
      <c r="BA221" s="1">
        <v>0</v>
      </c>
      <c r="BB221" s="1">
        <v>0</v>
      </c>
      <c r="BC221" s="1">
        <f t="shared" si="295"/>
        <v>835.61936000000003</v>
      </c>
      <c r="BD221" s="1">
        <f t="shared" si="296"/>
        <v>919.18129600000009</v>
      </c>
      <c r="BE221" s="1">
        <f t="shared" si="297"/>
        <v>752.05742400000008</v>
      </c>
      <c r="BF221" s="1">
        <v>0</v>
      </c>
      <c r="BG221" s="1">
        <v>0</v>
      </c>
      <c r="BH221" s="1">
        <v>0</v>
      </c>
      <c r="BI221" s="1">
        <f t="shared" si="273"/>
        <v>1002.743232</v>
      </c>
      <c r="BJ221" s="1">
        <f t="shared" si="274"/>
        <v>835.61936000000003</v>
      </c>
      <c r="BK221" s="2">
        <f t="shared" si="275"/>
        <v>793.838392</v>
      </c>
      <c r="BL221" s="1">
        <f t="shared" si="276"/>
        <v>835.61936000000003</v>
      </c>
      <c r="BM221" s="1">
        <v>986</v>
      </c>
      <c r="BN221" s="1">
        <f t="shared" si="277"/>
        <v>835.61936000000003</v>
      </c>
      <c r="BO221" s="2">
        <f t="shared" si="298"/>
        <v>0</v>
      </c>
      <c r="BP221" s="2">
        <f t="shared" si="299"/>
        <v>2924.6677599999998</v>
      </c>
      <c r="BQ221" s="22">
        <f t="shared" si="294"/>
        <v>0.7</v>
      </c>
    </row>
    <row r="222" spans="1:69" ht="20.100000000000001" customHeight="1" x14ac:dyDescent="0.2">
      <c r="A222" s="17">
        <f t="shared" si="281"/>
        <v>220</v>
      </c>
      <c r="B222" s="24">
        <v>64721</v>
      </c>
      <c r="C222" s="18" t="s">
        <v>64</v>
      </c>
      <c r="D222" s="26" t="s">
        <v>320</v>
      </c>
      <c r="E222" s="18" t="s">
        <v>306</v>
      </c>
      <c r="F222" s="8">
        <v>3339</v>
      </c>
      <c r="G222" s="24">
        <v>360</v>
      </c>
      <c r="H222" s="12">
        <v>0</v>
      </c>
      <c r="I222" s="24">
        <v>0</v>
      </c>
      <c r="J222" s="2">
        <f t="shared" si="249"/>
        <v>2317.1983120000004</v>
      </c>
      <c r="K222" s="21" t="s">
        <v>307</v>
      </c>
      <c r="L222" s="2">
        <v>1782.4602400000001</v>
      </c>
      <c r="M222" s="2">
        <v>60.078000000000003</v>
      </c>
      <c r="N222" s="1">
        <v>2150.5500000000002</v>
      </c>
      <c r="O222" s="1">
        <f t="shared" si="250"/>
        <v>1782.4602400000001</v>
      </c>
      <c r="P222" s="2">
        <f t="shared" si="293"/>
        <v>2228.0753</v>
      </c>
      <c r="Q222" s="1">
        <v>0</v>
      </c>
      <c r="R222" s="1">
        <v>0</v>
      </c>
      <c r="S222" s="2">
        <f t="shared" si="251"/>
        <v>1782.4602400000001</v>
      </c>
      <c r="T222" s="2">
        <v>2462</v>
      </c>
      <c r="V222" s="1">
        <f>455*5.9*1.063</f>
        <v>2853.6234999999997</v>
      </c>
      <c r="W222" s="2">
        <f t="shared" si="252"/>
        <v>1782.4602400000001</v>
      </c>
      <c r="X222" s="1">
        <f t="shared" si="253"/>
        <v>1782.4602400000001</v>
      </c>
      <c r="Y222" s="1">
        <f t="shared" si="254"/>
        <v>1782.4602400000001</v>
      </c>
      <c r="Z222" s="1">
        <v>1454</v>
      </c>
      <c r="AA222" s="1">
        <f t="shared" si="255"/>
        <v>1693.3372280000001</v>
      </c>
      <c r="AB222" s="1">
        <f t="shared" si="285"/>
        <v>1693.3372280000001</v>
      </c>
      <c r="AC222" s="1">
        <v>0</v>
      </c>
      <c r="AD222" s="1">
        <v>0</v>
      </c>
      <c r="AE222" s="1">
        <f t="shared" si="257"/>
        <v>1782.4602400000001</v>
      </c>
      <c r="AF222" s="1">
        <f t="shared" si="258"/>
        <v>1782.4602400000001</v>
      </c>
      <c r="AG222" s="1">
        <v>0</v>
      </c>
      <c r="AH222" s="1">
        <f t="shared" si="286"/>
        <v>2337.2999999999997</v>
      </c>
      <c r="AI222" s="1">
        <f t="shared" si="260"/>
        <v>1960.7062640000004</v>
      </c>
      <c r="AJ222" s="2">
        <f t="shared" si="261"/>
        <v>1782.4602400000001</v>
      </c>
      <c r="AK222" s="1">
        <f t="shared" si="287"/>
        <v>2424.1459264000005</v>
      </c>
      <c r="AL222" s="1">
        <f t="shared" si="263"/>
        <v>1782.4602400000001</v>
      </c>
      <c r="AM222" s="1">
        <f t="shared" si="264"/>
        <v>1782.4602400000001</v>
      </c>
      <c r="AN222" s="1">
        <f t="shared" si="288"/>
        <v>1782.4602400000001</v>
      </c>
      <c r="AO222" s="1">
        <f t="shared" si="283"/>
        <v>1782.4602400000001</v>
      </c>
      <c r="AP222" s="1">
        <f t="shared" si="289"/>
        <v>1425.9681920000003</v>
      </c>
      <c r="AQ222" s="1">
        <f t="shared" si="265"/>
        <v>1782.4602400000001</v>
      </c>
      <c r="AR222" s="1">
        <f t="shared" si="290"/>
        <v>1669.5</v>
      </c>
      <c r="AS222" s="1">
        <f t="shared" si="291"/>
        <v>150.19499999999999</v>
      </c>
      <c r="AT222" s="1">
        <f t="shared" si="268"/>
        <v>1782.4602400000001</v>
      </c>
      <c r="AU222" s="1">
        <v>1881.8435387565005</v>
      </c>
      <c r="AV222" s="1">
        <f t="shared" si="269"/>
        <v>66.085800000000006</v>
      </c>
      <c r="AW222" s="1">
        <f t="shared" si="270"/>
        <v>1782.4602400000001</v>
      </c>
      <c r="AX222" s="1">
        <f t="shared" si="271"/>
        <v>1693.3372280000001</v>
      </c>
      <c r="AY222" s="1">
        <f t="shared" si="284"/>
        <v>1568.5650112000001</v>
      </c>
      <c r="AZ222" s="1">
        <v>0</v>
      </c>
      <c r="BA222" s="1">
        <v>0</v>
      </c>
      <c r="BB222" s="1">
        <v>0</v>
      </c>
      <c r="BC222" s="1">
        <f t="shared" si="295"/>
        <v>1782.4602400000001</v>
      </c>
      <c r="BD222" s="1">
        <f t="shared" si="296"/>
        <v>1960.7062640000004</v>
      </c>
      <c r="BE222" s="1">
        <f t="shared" si="297"/>
        <v>1604.2142160000001</v>
      </c>
      <c r="BF222" s="1">
        <v>0</v>
      </c>
      <c r="BG222" s="1">
        <v>0</v>
      </c>
      <c r="BH222" s="1">
        <v>0</v>
      </c>
      <c r="BI222" s="1">
        <f t="shared" si="273"/>
        <v>2138.952288</v>
      </c>
      <c r="BJ222" s="1">
        <f t="shared" si="274"/>
        <v>1782.4602400000001</v>
      </c>
      <c r="BK222" s="2">
        <f t="shared" si="275"/>
        <v>1693.3372280000001</v>
      </c>
      <c r="BL222" s="1">
        <f t="shared" si="276"/>
        <v>1782.4602400000001</v>
      </c>
      <c r="BM222" s="1">
        <v>2978</v>
      </c>
      <c r="BN222" s="1">
        <f t="shared" si="277"/>
        <v>1782.4602400000001</v>
      </c>
      <c r="BO222" s="2">
        <f t="shared" si="298"/>
        <v>0</v>
      </c>
      <c r="BP222" s="2">
        <f t="shared" si="299"/>
        <v>2978</v>
      </c>
      <c r="BQ222" s="22">
        <f t="shared" si="294"/>
        <v>0.89188379754417491</v>
      </c>
    </row>
    <row r="223" spans="1:69" ht="20.100000000000001" customHeight="1" x14ac:dyDescent="0.2">
      <c r="A223" s="17">
        <f t="shared" si="281"/>
        <v>221</v>
      </c>
      <c r="B223" s="24">
        <v>95972</v>
      </c>
      <c r="C223" s="18" t="s">
        <v>64</v>
      </c>
      <c r="D223" s="19" t="s">
        <v>321</v>
      </c>
      <c r="E223" s="18" t="s">
        <v>306</v>
      </c>
      <c r="F223" s="8">
        <f>L223*5</f>
        <v>509.57480000000004</v>
      </c>
      <c r="G223" s="24">
        <v>360</v>
      </c>
      <c r="H223" s="12">
        <v>0</v>
      </c>
      <c r="I223" s="24">
        <v>0</v>
      </c>
      <c r="J223" s="2">
        <f t="shared" si="249"/>
        <v>132.48944800000001</v>
      </c>
      <c r="K223" s="21" t="s">
        <v>307</v>
      </c>
      <c r="L223" s="2">
        <v>101.91496000000001</v>
      </c>
      <c r="M223" s="2">
        <v>64.814149000000015</v>
      </c>
      <c r="N223" s="1">
        <v>3341.55</v>
      </c>
      <c r="O223" s="1">
        <f t="shared" si="250"/>
        <v>101.91496000000001</v>
      </c>
      <c r="P223" s="2">
        <f t="shared" si="293"/>
        <v>127.39370000000001</v>
      </c>
      <c r="Q223" s="1">
        <v>0</v>
      </c>
      <c r="R223" s="1">
        <v>0</v>
      </c>
      <c r="S223" s="2">
        <f t="shared" si="251"/>
        <v>101.91496000000001</v>
      </c>
      <c r="T223" s="2">
        <f>F223*0.5772</f>
        <v>294.12657456000005</v>
      </c>
      <c r="V223" s="1">
        <f>840*5.9*1.063</f>
        <v>5268.2280000000001</v>
      </c>
      <c r="W223" s="2">
        <f t="shared" si="252"/>
        <v>101.91496000000001</v>
      </c>
      <c r="X223" s="1">
        <f t="shared" si="253"/>
        <v>101.91496000000001</v>
      </c>
      <c r="Y223" s="1">
        <f t="shared" si="254"/>
        <v>101.91496000000001</v>
      </c>
      <c r="Z223" s="1">
        <f>F223*0.392</f>
        <v>199.75332160000002</v>
      </c>
      <c r="AA223" s="1">
        <f t="shared" si="255"/>
        <v>96.819212000000007</v>
      </c>
      <c r="AB223" s="1">
        <f t="shared" si="285"/>
        <v>96.819212000000007</v>
      </c>
      <c r="AC223" s="1">
        <v>0</v>
      </c>
      <c r="AD223" s="1">
        <v>0</v>
      </c>
      <c r="AE223" s="1">
        <f t="shared" si="257"/>
        <v>101.91496000000001</v>
      </c>
      <c r="AF223" s="1">
        <f t="shared" si="258"/>
        <v>101.91496000000001</v>
      </c>
      <c r="AG223" s="1">
        <v>0</v>
      </c>
      <c r="AH223" s="1">
        <f t="shared" si="286"/>
        <v>356.70236</v>
      </c>
      <c r="AI223" s="1">
        <f t="shared" si="260"/>
        <v>112.10645600000002</v>
      </c>
      <c r="AJ223" s="2">
        <f t="shared" si="261"/>
        <v>101.91496000000001</v>
      </c>
      <c r="AK223" s="1">
        <f t="shared" si="287"/>
        <v>138.60434560000002</v>
      </c>
      <c r="AL223" s="1">
        <f t="shared" si="263"/>
        <v>101.91496000000001</v>
      </c>
      <c r="AM223" s="1">
        <f t="shared" si="264"/>
        <v>101.91496000000001</v>
      </c>
      <c r="AN223" s="1">
        <f t="shared" si="288"/>
        <v>101.91496000000001</v>
      </c>
      <c r="AO223" s="1">
        <f t="shared" si="283"/>
        <v>101.91496000000001</v>
      </c>
      <c r="AP223" s="1">
        <f t="shared" si="289"/>
        <v>81.531968000000006</v>
      </c>
      <c r="AQ223" s="1">
        <f t="shared" si="265"/>
        <v>101.91496000000001</v>
      </c>
      <c r="AR223" s="1">
        <f t="shared" si="290"/>
        <v>254.78740000000002</v>
      </c>
      <c r="AS223" s="1">
        <f t="shared" si="291"/>
        <v>162.03537250000005</v>
      </c>
      <c r="AT223" s="1">
        <f t="shared" si="268"/>
        <v>101.91496000000001</v>
      </c>
      <c r="AU223" s="1">
        <v>107.59735598850003</v>
      </c>
      <c r="AV223" s="1">
        <f t="shared" si="269"/>
        <v>71.295563900000019</v>
      </c>
      <c r="AW223" s="1">
        <f t="shared" si="270"/>
        <v>101.91496000000001</v>
      </c>
      <c r="AX223" s="1">
        <f t="shared" si="271"/>
        <v>96.819212000000007</v>
      </c>
      <c r="AY223" s="1">
        <f t="shared" si="284"/>
        <v>89.68516480000001</v>
      </c>
      <c r="AZ223" s="1">
        <v>0</v>
      </c>
      <c r="BA223" s="1">
        <v>0</v>
      </c>
      <c r="BB223" s="1">
        <v>0</v>
      </c>
      <c r="BC223" s="1">
        <f t="shared" si="295"/>
        <v>101.91496000000001</v>
      </c>
      <c r="BD223" s="1">
        <f t="shared" si="296"/>
        <v>112.10645600000002</v>
      </c>
      <c r="BE223" s="1">
        <f t="shared" si="297"/>
        <v>91.723464000000007</v>
      </c>
      <c r="BF223" s="1">
        <v>0</v>
      </c>
      <c r="BG223" s="1">
        <v>0</v>
      </c>
      <c r="BH223" s="1">
        <v>0</v>
      </c>
      <c r="BI223" s="1">
        <f t="shared" si="273"/>
        <v>122.29795200000001</v>
      </c>
      <c r="BJ223" s="1">
        <f t="shared" si="274"/>
        <v>101.91496000000001</v>
      </c>
      <c r="BK223" s="2">
        <f t="shared" si="275"/>
        <v>96.819212000000007</v>
      </c>
      <c r="BL223" s="1">
        <f t="shared" si="276"/>
        <v>101.91496000000001</v>
      </c>
      <c r="BM223" s="1">
        <v>0</v>
      </c>
      <c r="BN223" s="1">
        <f t="shared" si="277"/>
        <v>101.91496000000001</v>
      </c>
      <c r="BO223" s="2">
        <f t="shared" si="298"/>
        <v>0</v>
      </c>
      <c r="BP223" s="2">
        <f t="shared" si="299"/>
        <v>5268.2280000000001</v>
      </c>
      <c r="BQ223" s="22">
        <f t="shared" si="294"/>
        <v>10.338478276398282</v>
      </c>
    </row>
    <row r="224" spans="1:69" ht="20.100000000000001" customHeight="1" x14ac:dyDescent="0.2">
      <c r="A224" s="17">
        <f t="shared" si="281"/>
        <v>222</v>
      </c>
      <c r="B224" s="24">
        <v>43246</v>
      </c>
      <c r="C224" s="18" t="s">
        <v>64</v>
      </c>
      <c r="D224" s="19" t="s">
        <v>322</v>
      </c>
      <c r="E224" s="18" t="s">
        <v>306</v>
      </c>
      <c r="F224" s="8">
        <f>L224*5</f>
        <v>8255.1016</v>
      </c>
      <c r="G224" s="24">
        <v>360</v>
      </c>
      <c r="H224" s="12">
        <v>0</v>
      </c>
      <c r="I224" s="24">
        <v>0</v>
      </c>
      <c r="J224" s="2">
        <f t="shared" si="249"/>
        <v>2146.3264160000003</v>
      </c>
      <c r="K224" s="21" t="s">
        <v>307</v>
      </c>
      <c r="L224" s="1">
        <v>1651.0203200000001</v>
      </c>
      <c r="M224" s="1">
        <v>35.045500000000004</v>
      </c>
      <c r="N224" s="1">
        <v>2150.5500000000002</v>
      </c>
      <c r="O224" s="1">
        <f t="shared" si="250"/>
        <v>1651.0203200000001</v>
      </c>
      <c r="P224" s="2">
        <f t="shared" si="293"/>
        <v>2063.7754</v>
      </c>
      <c r="Q224" s="1">
        <v>0</v>
      </c>
      <c r="R224" s="1">
        <v>0</v>
      </c>
      <c r="S224" s="2">
        <f t="shared" si="251"/>
        <v>1651.0203200000001</v>
      </c>
      <c r="T224" s="2">
        <v>2462</v>
      </c>
      <c r="V224" s="1">
        <f>455*5.9*1.063</f>
        <v>2853.6234999999997</v>
      </c>
      <c r="W224" s="2">
        <f t="shared" si="252"/>
        <v>1651.0203200000001</v>
      </c>
      <c r="X224" s="1">
        <f t="shared" si="253"/>
        <v>1651.0203200000001</v>
      </c>
      <c r="Y224" s="1">
        <f t="shared" si="254"/>
        <v>1651.0203200000001</v>
      </c>
      <c r="Z224" s="1">
        <v>1454</v>
      </c>
      <c r="AA224" s="1">
        <f t="shared" si="255"/>
        <v>1568.469304</v>
      </c>
      <c r="AB224" s="1">
        <f t="shared" si="285"/>
        <v>1568.469304</v>
      </c>
      <c r="AC224" s="1">
        <v>0</v>
      </c>
      <c r="AD224" s="1">
        <v>0</v>
      </c>
      <c r="AE224" s="1">
        <f t="shared" si="257"/>
        <v>1651.0203200000001</v>
      </c>
      <c r="AF224" s="1">
        <f t="shared" si="258"/>
        <v>1651.0203200000001</v>
      </c>
      <c r="AG224" s="1">
        <v>0</v>
      </c>
      <c r="AH224" s="1">
        <f t="shared" si="286"/>
        <v>5778.5711199999996</v>
      </c>
      <c r="AI224" s="1">
        <f t="shared" si="260"/>
        <v>1816.1223520000003</v>
      </c>
      <c r="AJ224" s="2">
        <f t="shared" si="261"/>
        <v>1651.0203200000001</v>
      </c>
      <c r="AK224" s="1">
        <f t="shared" si="287"/>
        <v>2245.3876352000002</v>
      </c>
      <c r="AL224" s="1">
        <f t="shared" si="263"/>
        <v>1651.0203200000001</v>
      </c>
      <c r="AM224" s="1">
        <f t="shared" si="264"/>
        <v>1651.0203200000001</v>
      </c>
      <c r="AN224" s="1">
        <f t="shared" si="288"/>
        <v>1651.0203200000001</v>
      </c>
      <c r="AO224" s="1">
        <f t="shared" si="283"/>
        <v>1651.0203200000001</v>
      </c>
      <c r="AP224" s="1">
        <f t="shared" si="289"/>
        <v>1320.8162560000001</v>
      </c>
      <c r="AQ224" s="1">
        <f t="shared" si="265"/>
        <v>1651.0203200000001</v>
      </c>
      <c r="AR224" s="1">
        <f t="shared" si="290"/>
        <v>4127.5508</v>
      </c>
      <c r="AS224" s="1">
        <f t="shared" si="291"/>
        <v>87.61375000000001</v>
      </c>
      <c r="AT224" s="1">
        <f t="shared" si="268"/>
        <v>1651.0203200000001</v>
      </c>
      <c r="AU224" s="1">
        <v>1743.0750217170003</v>
      </c>
      <c r="AV224" s="1">
        <f t="shared" si="269"/>
        <v>38.550050000000006</v>
      </c>
      <c r="AW224" s="1">
        <f t="shared" si="270"/>
        <v>1651.0203200000001</v>
      </c>
      <c r="AX224" s="1">
        <f t="shared" si="271"/>
        <v>1568.469304</v>
      </c>
      <c r="AY224" s="1">
        <f t="shared" si="284"/>
        <v>1452.8978816000001</v>
      </c>
      <c r="AZ224" s="1">
        <v>0</v>
      </c>
      <c r="BA224" s="1">
        <v>0</v>
      </c>
      <c r="BB224" s="1">
        <v>0</v>
      </c>
      <c r="BC224" s="1">
        <f t="shared" si="295"/>
        <v>1651.0203200000001</v>
      </c>
      <c r="BD224" s="1">
        <f t="shared" si="296"/>
        <v>1816.1223520000003</v>
      </c>
      <c r="BE224" s="1">
        <f t="shared" si="297"/>
        <v>1485.9182880000001</v>
      </c>
      <c r="BF224" s="1">
        <v>0</v>
      </c>
      <c r="BG224" s="1">
        <v>0</v>
      </c>
      <c r="BH224" s="1">
        <v>0</v>
      </c>
      <c r="BI224" s="1">
        <f t="shared" si="273"/>
        <v>1981.2243840000001</v>
      </c>
      <c r="BJ224" s="1">
        <f t="shared" si="274"/>
        <v>1651.0203200000001</v>
      </c>
      <c r="BK224" s="1">
        <f t="shared" si="275"/>
        <v>1568.469304</v>
      </c>
      <c r="BL224" s="1">
        <f t="shared" si="276"/>
        <v>1651.0203200000001</v>
      </c>
      <c r="BM224" s="1">
        <v>1531</v>
      </c>
      <c r="BN224" s="1">
        <f t="shared" si="277"/>
        <v>1651.0203200000001</v>
      </c>
      <c r="BO224" s="1">
        <f t="shared" si="298"/>
        <v>0</v>
      </c>
      <c r="BP224" s="1">
        <f t="shared" si="299"/>
        <v>5778.5711199999996</v>
      </c>
      <c r="BQ224" s="22">
        <f t="shared" si="294"/>
        <v>0.7</v>
      </c>
    </row>
    <row r="225" spans="1:69" ht="20.100000000000001" customHeight="1" x14ac:dyDescent="0.2">
      <c r="A225" s="17">
        <f t="shared" si="281"/>
        <v>223</v>
      </c>
      <c r="B225" s="24">
        <v>43251</v>
      </c>
      <c r="C225" s="18" t="s">
        <v>64</v>
      </c>
      <c r="D225" s="19" t="s">
        <v>323</v>
      </c>
      <c r="E225" s="18" t="s">
        <v>306</v>
      </c>
      <c r="F225" s="8">
        <f>L225*5</f>
        <v>8255.1016</v>
      </c>
      <c r="G225" s="24">
        <v>360</v>
      </c>
      <c r="H225" s="12">
        <v>0</v>
      </c>
      <c r="I225" s="24">
        <v>0</v>
      </c>
      <c r="J225" s="2">
        <f t="shared" si="249"/>
        <v>2146.3264160000003</v>
      </c>
      <c r="K225" s="21" t="s">
        <v>307</v>
      </c>
      <c r="L225" s="2">
        <v>1651.0203200000001</v>
      </c>
      <c r="M225" s="1">
        <v>35.045500000000004</v>
      </c>
      <c r="N225" s="1">
        <v>2150.5500000000002</v>
      </c>
      <c r="O225" s="1">
        <f t="shared" si="250"/>
        <v>1651.0203200000001</v>
      </c>
      <c r="P225" s="2">
        <f t="shared" si="293"/>
        <v>2063.7754</v>
      </c>
      <c r="Q225" s="1">
        <v>0</v>
      </c>
      <c r="R225" s="1">
        <v>0</v>
      </c>
      <c r="S225" s="2">
        <f t="shared" si="251"/>
        <v>1651.0203200000001</v>
      </c>
      <c r="T225" s="2">
        <v>2462</v>
      </c>
      <c r="V225" s="1">
        <f>455*5.9*1.063</f>
        <v>2853.6234999999997</v>
      </c>
      <c r="W225" s="2">
        <f t="shared" si="252"/>
        <v>1651.0203200000001</v>
      </c>
      <c r="X225" s="1">
        <f t="shared" si="253"/>
        <v>1651.0203200000001</v>
      </c>
      <c r="Y225" s="1">
        <f t="shared" si="254"/>
        <v>1651.0203200000001</v>
      </c>
      <c r="Z225" s="1">
        <v>1454</v>
      </c>
      <c r="AA225" s="1">
        <f t="shared" si="255"/>
        <v>1568.469304</v>
      </c>
      <c r="AB225" s="1">
        <f t="shared" si="285"/>
        <v>1568.469304</v>
      </c>
      <c r="AC225" s="1">
        <v>0</v>
      </c>
      <c r="AD225" s="1">
        <v>0</v>
      </c>
      <c r="AE225" s="1">
        <f t="shared" si="257"/>
        <v>1651.0203200000001</v>
      </c>
      <c r="AF225" s="1">
        <f t="shared" si="258"/>
        <v>1651.0203200000001</v>
      </c>
      <c r="AG225" s="1">
        <v>0</v>
      </c>
      <c r="AH225" s="1">
        <f t="shared" si="286"/>
        <v>5778.5711199999996</v>
      </c>
      <c r="AI225" s="1">
        <f t="shared" si="260"/>
        <v>1816.1223520000003</v>
      </c>
      <c r="AJ225" s="2">
        <f t="shared" si="261"/>
        <v>1651.0203200000001</v>
      </c>
      <c r="AK225" s="1">
        <f t="shared" si="287"/>
        <v>2245.3876352000002</v>
      </c>
      <c r="AL225" s="1">
        <f t="shared" si="263"/>
        <v>1651.0203200000001</v>
      </c>
      <c r="AM225" s="1">
        <f t="shared" si="264"/>
        <v>1651.0203200000001</v>
      </c>
      <c r="AN225" s="1">
        <f t="shared" si="288"/>
        <v>1651.0203200000001</v>
      </c>
      <c r="AO225" s="1">
        <f t="shared" si="283"/>
        <v>1651.0203200000001</v>
      </c>
      <c r="AP225" s="1">
        <f t="shared" si="289"/>
        <v>1320.8162560000001</v>
      </c>
      <c r="AQ225" s="1">
        <f t="shared" si="265"/>
        <v>1651.0203200000001</v>
      </c>
      <c r="AR225" s="1">
        <f t="shared" si="290"/>
        <v>4127.5508</v>
      </c>
      <c r="AS225" s="1">
        <f t="shared" si="291"/>
        <v>87.61375000000001</v>
      </c>
      <c r="AT225" s="1">
        <f t="shared" si="268"/>
        <v>1651.0203200000001</v>
      </c>
      <c r="AU225" s="1">
        <v>1743.0750217170003</v>
      </c>
      <c r="AV225" s="2">
        <f>M225</f>
        <v>35.045500000000004</v>
      </c>
      <c r="AW225" s="1">
        <f t="shared" si="270"/>
        <v>1651.0203200000001</v>
      </c>
      <c r="AX225" s="1">
        <f t="shared" si="271"/>
        <v>1568.469304</v>
      </c>
      <c r="AY225" s="1">
        <f t="shared" si="284"/>
        <v>1452.8978816000001</v>
      </c>
      <c r="AZ225" s="1">
        <v>0</v>
      </c>
      <c r="BA225" s="1">
        <v>0</v>
      </c>
      <c r="BB225" s="1">
        <v>0</v>
      </c>
      <c r="BC225" s="1">
        <f t="shared" si="295"/>
        <v>1651.0203200000001</v>
      </c>
      <c r="BD225" s="1">
        <f t="shared" si="296"/>
        <v>1816.1223520000003</v>
      </c>
      <c r="BE225" s="1">
        <f t="shared" si="297"/>
        <v>1485.9182880000001</v>
      </c>
      <c r="BF225" s="1">
        <v>0</v>
      </c>
      <c r="BG225" s="1">
        <v>0</v>
      </c>
      <c r="BH225" s="1">
        <v>0</v>
      </c>
      <c r="BI225" s="1">
        <f t="shared" si="273"/>
        <v>1981.2243840000001</v>
      </c>
      <c r="BJ225" s="1">
        <f t="shared" si="274"/>
        <v>1651.0203200000001</v>
      </c>
      <c r="BK225" s="2">
        <f t="shared" si="275"/>
        <v>1568.469304</v>
      </c>
      <c r="BL225" s="1">
        <f t="shared" si="276"/>
        <v>1651.0203200000001</v>
      </c>
      <c r="BM225" s="1">
        <v>1531</v>
      </c>
      <c r="BN225" s="1">
        <f t="shared" si="277"/>
        <v>1651.0203200000001</v>
      </c>
      <c r="BO225" s="2">
        <f t="shared" si="298"/>
        <v>0</v>
      </c>
      <c r="BP225" s="2">
        <f t="shared" si="299"/>
        <v>5778.5711199999996</v>
      </c>
      <c r="BQ225" s="22">
        <f t="shared" si="294"/>
        <v>0.7</v>
      </c>
    </row>
    <row r="226" spans="1:69" ht="20.100000000000001" customHeight="1" x14ac:dyDescent="0.2">
      <c r="A226" s="17">
        <f t="shared" si="281"/>
        <v>224</v>
      </c>
      <c r="B226" s="24">
        <v>49585</v>
      </c>
      <c r="C226" s="18" t="s">
        <v>64</v>
      </c>
      <c r="D226" s="19" t="s">
        <v>324</v>
      </c>
      <c r="E226" s="18" t="s">
        <v>306</v>
      </c>
      <c r="F226" s="8">
        <v>7840</v>
      </c>
      <c r="G226" s="24">
        <v>360</v>
      </c>
      <c r="H226" s="12">
        <v>0</v>
      </c>
      <c r="I226" s="24">
        <v>0</v>
      </c>
      <c r="J226" s="2">
        <f t="shared" si="249"/>
        <v>4204.6479280000003</v>
      </c>
      <c r="K226" s="21" t="s">
        <v>307</v>
      </c>
      <c r="L226" s="2">
        <v>3234.34456</v>
      </c>
      <c r="M226" s="2">
        <v>65.084500000000006</v>
      </c>
      <c r="N226" s="1">
        <v>3655.4</v>
      </c>
      <c r="O226" s="1">
        <f t="shared" si="250"/>
        <v>3234.34456</v>
      </c>
      <c r="P226" s="2">
        <f t="shared" si="293"/>
        <v>4042.9306999999999</v>
      </c>
      <c r="Q226" s="1">
        <v>0</v>
      </c>
      <c r="R226" s="1">
        <v>0</v>
      </c>
      <c r="S226" s="2">
        <f t="shared" si="251"/>
        <v>3234.34456</v>
      </c>
      <c r="T226" s="1">
        <v>3241</v>
      </c>
      <c r="U226" s="1"/>
      <c r="V226" s="1">
        <f>643*5.9*1.063</f>
        <v>4032.7031000000002</v>
      </c>
      <c r="W226" s="2">
        <f t="shared" si="252"/>
        <v>3234.34456</v>
      </c>
      <c r="X226" s="1">
        <f t="shared" si="253"/>
        <v>3234.34456</v>
      </c>
      <c r="Y226" s="1">
        <f t="shared" si="254"/>
        <v>3234.34456</v>
      </c>
      <c r="Z226" s="1">
        <v>2369</v>
      </c>
      <c r="AA226" s="1">
        <f t="shared" si="255"/>
        <v>3072.627332</v>
      </c>
      <c r="AB226" s="1">
        <f t="shared" si="285"/>
        <v>3072.627332</v>
      </c>
      <c r="AC226" s="1">
        <v>0</v>
      </c>
      <c r="AD226" s="1">
        <v>0</v>
      </c>
      <c r="AE226" s="1">
        <f t="shared" si="257"/>
        <v>3234.34456</v>
      </c>
      <c r="AF226" s="1">
        <f t="shared" si="258"/>
        <v>3234.34456</v>
      </c>
      <c r="AG226" s="1">
        <v>0</v>
      </c>
      <c r="AH226" s="1">
        <f t="shared" si="286"/>
        <v>5488</v>
      </c>
      <c r="AI226" s="1">
        <f t="shared" si="260"/>
        <v>3557.7790160000004</v>
      </c>
      <c r="AJ226" s="2">
        <f t="shared" si="261"/>
        <v>3234.34456</v>
      </c>
      <c r="AK226" s="1">
        <f t="shared" si="287"/>
        <v>4398.7086016000003</v>
      </c>
      <c r="AL226" s="1">
        <f t="shared" si="263"/>
        <v>3234.34456</v>
      </c>
      <c r="AM226" s="1">
        <f t="shared" si="264"/>
        <v>3234.34456</v>
      </c>
      <c r="AN226" s="1">
        <f t="shared" si="288"/>
        <v>3234.34456</v>
      </c>
      <c r="AO226" s="1">
        <f t="shared" si="283"/>
        <v>3234.34456</v>
      </c>
      <c r="AP226" s="1">
        <f t="shared" si="289"/>
        <v>2587.4756480000001</v>
      </c>
      <c r="AQ226" s="1">
        <f t="shared" si="265"/>
        <v>3234.34456</v>
      </c>
      <c r="AR226" s="1">
        <f t="shared" si="290"/>
        <v>3920</v>
      </c>
      <c r="AS226" s="1">
        <f t="shared" si="291"/>
        <v>162.71125000000001</v>
      </c>
      <c r="AT226" s="1">
        <f t="shared" si="268"/>
        <v>3234.34456</v>
      </c>
      <c r="AU226" s="1">
        <v>3414.6794838735004</v>
      </c>
      <c r="AV226" s="1">
        <f t="shared" ref="AV226:AV233" si="300">M226*1.1</f>
        <v>71.592950000000016</v>
      </c>
      <c r="AW226" s="1">
        <f t="shared" si="270"/>
        <v>3234.34456</v>
      </c>
      <c r="AX226" s="1">
        <f t="shared" si="271"/>
        <v>3072.627332</v>
      </c>
      <c r="AY226" s="1">
        <f t="shared" si="284"/>
        <v>2846.2232128000001</v>
      </c>
      <c r="AZ226" s="1">
        <v>0</v>
      </c>
      <c r="BA226" s="1">
        <v>0</v>
      </c>
      <c r="BB226" s="1">
        <v>0</v>
      </c>
      <c r="BC226" s="1">
        <f t="shared" si="295"/>
        <v>3234.34456</v>
      </c>
      <c r="BD226" s="1">
        <f t="shared" si="296"/>
        <v>3557.7790160000004</v>
      </c>
      <c r="BE226" s="1">
        <f t="shared" si="297"/>
        <v>2910.910104</v>
      </c>
      <c r="BF226" s="1">
        <v>0</v>
      </c>
      <c r="BG226" s="1">
        <v>0</v>
      </c>
      <c r="BH226" s="1">
        <v>0</v>
      </c>
      <c r="BI226" s="1">
        <f t="shared" si="273"/>
        <v>3881.2134719999999</v>
      </c>
      <c r="BJ226" s="1">
        <f t="shared" si="274"/>
        <v>3234.34456</v>
      </c>
      <c r="BK226" s="2">
        <f t="shared" si="275"/>
        <v>3072.627332</v>
      </c>
      <c r="BL226" s="1">
        <f t="shared" si="276"/>
        <v>3234.34456</v>
      </c>
      <c r="BM226" s="1">
        <v>4336</v>
      </c>
      <c r="BN226" s="1">
        <f t="shared" si="277"/>
        <v>3234.34456</v>
      </c>
      <c r="BO226" s="2">
        <f t="shared" si="298"/>
        <v>0</v>
      </c>
      <c r="BP226" s="2">
        <f t="shared" si="299"/>
        <v>5488</v>
      </c>
      <c r="BQ226" s="22">
        <f t="shared" si="294"/>
        <v>0.7</v>
      </c>
    </row>
    <row r="227" spans="1:69" ht="20.100000000000001" customHeight="1" x14ac:dyDescent="0.2">
      <c r="A227" s="17">
        <f t="shared" si="281"/>
        <v>225</v>
      </c>
      <c r="B227" s="24">
        <v>20240</v>
      </c>
      <c r="C227" s="18" t="s">
        <v>64</v>
      </c>
      <c r="D227" s="26" t="s">
        <v>325</v>
      </c>
      <c r="E227" s="18" t="s">
        <v>306</v>
      </c>
      <c r="F227" s="8">
        <v>4190</v>
      </c>
      <c r="G227" s="24">
        <v>360</v>
      </c>
      <c r="H227" s="12">
        <v>0</v>
      </c>
      <c r="I227" s="24">
        <v>0</v>
      </c>
      <c r="J227" s="2">
        <f t="shared" si="249"/>
        <v>3130.3092080000006</v>
      </c>
      <c r="K227" s="21" t="s">
        <v>307</v>
      </c>
      <c r="L227" s="2">
        <v>2407.9301600000003</v>
      </c>
      <c r="M227" s="2">
        <v>35.045500000000004</v>
      </c>
      <c r="N227" s="1">
        <v>2150.5500000000002</v>
      </c>
      <c r="O227" s="1">
        <f t="shared" si="250"/>
        <v>2407.9301600000003</v>
      </c>
      <c r="P227" s="2">
        <f t="shared" si="293"/>
        <v>3009.9127000000003</v>
      </c>
      <c r="Q227" s="1">
        <v>0</v>
      </c>
      <c r="R227" s="1">
        <v>0</v>
      </c>
      <c r="S227" s="2">
        <f t="shared" si="251"/>
        <v>2407.9301600000003</v>
      </c>
      <c r="T227" s="2">
        <v>2462</v>
      </c>
      <c r="V227" s="1">
        <f>455*5.9*1.063</f>
        <v>2853.6234999999997</v>
      </c>
      <c r="W227" s="2">
        <f t="shared" si="252"/>
        <v>2407.9301600000003</v>
      </c>
      <c r="X227" s="1">
        <f t="shared" si="253"/>
        <v>2407.9301600000003</v>
      </c>
      <c r="Y227" s="1">
        <f t="shared" si="254"/>
        <v>2407.9301600000003</v>
      </c>
      <c r="Z227" s="1">
        <v>1454</v>
      </c>
      <c r="AA227" s="1">
        <f t="shared" si="255"/>
        <v>2287.5336520000001</v>
      </c>
      <c r="AB227" s="1">
        <f t="shared" si="285"/>
        <v>2287.5336520000001</v>
      </c>
      <c r="AC227" s="1">
        <v>0</v>
      </c>
      <c r="AD227" s="1">
        <v>0</v>
      </c>
      <c r="AE227" s="1">
        <f t="shared" si="257"/>
        <v>2407.9301600000003</v>
      </c>
      <c r="AF227" s="1">
        <f t="shared" si="258"/>
        <v>2407.9301600000003</v>
      </c>
      <c r="AG227" s="1">
        <v>0</v>
      </c>
      <c r="AH227" s="1">
        <f t="shared" si="286"/>
        <v>2933</v>
      </c>
      <c r="AI227" s="1">
        <f t="shared" si="260"/>
        <v>2648.7231760000004</v>
      </c>
      <c r="AJ227" s="2">
        <f t="shared" si="261"/>
        <v>2407.9301600000003</v>
      </c>
      <c r="AK227" s="1">
        <f t="shared" si="287"/>
        <v>3274.7850176000006</v>
      </c>
      <c r="AL227" s="1">
        <f t="shared" si="263"/>
        <v>2407.9301600000003</v>
      </c>
      <c r="AM227" s="1">
        <f t="shared" si="264"/>
        <v>2407.9301600000003</v>
      </c>
      <c r="AN227" s="1">
        <f t="shared" si="288"/>
        <v>2407.9301600000003</v>
      </c>
      <c r="AO227" s="1">
        <f t="shared" si="283"/>
        <v>2407.9301600000003</v>
      </c>
      <c r="AP227" s="1">
        <f t="shared" si="289"/>
        <v>1926.3441280000004</v>
      </c>
      <c r="AQ227" s="1">
        <f t="shared" si="265"/>
        <v>2407.9301600000003</v>
      </c>
      <c r="AR227" s="1">
        <f t="shared" si="290"/>
        <v>2095</v>
      </c>
      <c r="AS227" s="1">
        <f t="shared" si="291"/>
        <v>87.61375000000001</v>
      </c>
      <c r="AT227" s="1">
        <f t="shared" si="268"/>
        <v>2407.9301600000003</v>
      </c>
      <c r="AU227" s="1">
        <v>2542.1873159835004</v>
      </c>
      <c r="AV227" s="1">
        <f t="shared" si="300"/>
        <v>38.550050000000006</v>
      </c>
      <c r="AW227" s="1">
        <f t="shared" si="270"/>
        <v>2407.9301600000003</v>
      </c>
      <c r="AX227" s="1">
        <f t="shared" si="271"/>
        <v>2287.5336520000001</v>
      </c>
      <c r="AY227" s="1">
        <f t="shared" si="284"/>
        <v>2118.9785408000002</v>
      </c>
      <c r="AZ227" s="1">
        <v>0</v>
      </c>
      <c r="BA227" s="1">
        <v>0</v>
      </c>
      <c r="BB227" s="1">
        <v>0</v>
      </c>
      <c r="BC227" s="1">
        <f t="shared" si="295"/>
        <v>2407.9301600000003</v>
      </c>
      <c r="BD227" s="1">
        <f t="shared" si="296"/>
        <v>2648.7231760000004</v>
      </c>
      <c r="BE227" s="1">
        <f t="shared" si="297"/>
        <v>2167.1371440000003</v>
      </c>
      <c r="BF227" s="1">
        <v>0</v>
      </c>
      <c r="BG227" s="1">
        <v>0</v>
      </c>
      <c r="BH227" s="1">
        <v>0</v>
      </c>
      <c r="BI227" s="1">
        <f t="shared" si="273"/>
        <v>2889.5161920000005</v>
      </c>
      <c r="BJ227" s="1">
        <f t="shared" si="274"/>
        <v>2407.9301600000003</v>
      </c>
      <c r="BK227" s="2">
        <f t="shared" si="275"/>
        <v>2287.5336520000001</v>
      </c>
      <c r="BL227" s="1">
        <f t="shared" si="276"/>
        <v>2407.9301600000003</v>
      </c>
      <c r="BM227" s="1">
        <v>3067</v>
      </c>
      <c r="BN227" s="1">
        <f t="shared" si="277"/>
        <v>2407.9301600000003</v>
      </c>
      <c r="BO227" s="2">
        <f t="shared" si="298"/>
        <v>0</v>
      </c>
      <c r="BP227" s="2">
        <f t="shared" si="299"/>
        <v>3274.7850176000006</v>
      </c>
      <c r="BQ227" s="22">
        <f t="shared" si="294"/>
        <v>0.78157160324582353</v>
      </c>
    </row>
    <row r="228" spans="1:69" ht="20.100000000000001" customHeight="1" x14ac:dyDescent="0.2">
      <c r="A228" s="17">
        <f t="shared" si="281"/>
        <v>226</v>
      </c>
      <c r="B228" s="24">
        <v>49651</v>
      </c>
      <c r="C228" s="18" t="s">
        <v>64</v>
      </c>
      <c r="D228" s="19" t="s">
        <v>326</v>
      </c>
      <c r="E228" s="18" t="s">
        <v>306</v>
      </c>
      <c r="F228" s="8">
        <v>8805</v>
      </c>
      <c r="G228" s="24">
        <v>360</v>
      </c>
      <c r="H228" s="12">
        <v>0</v>
      </c>
      <c r="I228" s="24">
        <v>0</v>
      </c>
      <c r="J228" s="2">
        <f t="shared" si="249"/>
        <v>6683.8291520000002</v>
      </c>
      <c r="K228" s="21" t="s">
        <v>307</v>
      </c>
      <c r="L228" s="2">
        <v>5141.4070400000001</v>
      </c>
      <c r="M228" s="2">
        <v>155.20150000000001</v>
      </c>
      <c r="N228" s="1">
        <v>4604.3999999999996</v>
      </c>
      <c r="O228" s="1">
        <f t="shared" si="250"/>
        <v>5141.4070400000001</v>
      </c>
      <c r="P228" s="2">
        <f t="shared" si="293"/>
        <v>6426.7587999999996</v>
      </c>
      <c r="Q228" s="1">
        <v>0</v>
      </c>
      <c r="R228" s="1">
        <v>0</v>
      </c>
      <c r="S228" s="2">
        <f t="shared" si="251"/>
        <v>5141.4070400000001</v>
      </c>
      <c r="T228" s="1">
        <v>3241</v>
      </c>
      <c r="U228" s="1"/>
      <c r="V228" s="1">
        <f>1015*5.9*1.063</f>
        <v>6365.7754999999997</v>
      </c>
      <c r="W228" s="2">
        <f t="shared" si="252"/>
        <v>5141.4070400000001</v>
      </c>
      <c r="X228" s="1">
        <f t="shared" si="253"/>
        <v>5141.4070400000001</v>
      </c>
      <c r="Y228" s="1">
        <f t="shared" si="254"/>
        <v>5141.4070400000001</v>
      </c>
      <c r="Z228" s="1">
        <v>3091</v>
      </c>
      <c r="AA228" s="1">
        <f t="shared" si="255"/>
        <v>4884.3366879999994</v>
      </c>
      <c r="AB228" s="1">
        <f t="shared" si="285"/>
        <v>4884.3366879999994</v>
      </c>
      <c r="AC228" s="1">
        <v>0</v>
      </c>
      <c r="AD228" s="1">
        <v>0</v>
      </c>
      <c r="AE228" s="1">
        <f t="shared" si="257"/>
        <v>5141.4070400000001</v>
      </c>
      <c r="AF228" s="1">
        <f t="shared" si="258"/>
        <v>5141.4070400000001</v>
      </c>
      <c r="AG228" s="1">
        <v>0</v>
      </c>
      <c r="AH228" s="1">
        <f t="shared" si="286"/>
        <v>6163.5</v>
      </c>
      <c r="AI228" s="1">
        <f t="shared" si="260"/>
        <v>5655.5477440000004</v>
      </c>
      <c r="AJ228" s="2">
        <f t="shared" si="261"/>
        <v>5141.4070400000001</v>
      </c>
      <c r="AK228" s="1">
        <f t="shared" si="287"/>
        <v>6992.313574400001</v>
      </c>
      <c r="AL228" s="1">
        <f t="shared" si="263"/>
        <v>5141.4070400000001</v>
      </c>
      <c r="AM228" s="1">
        <f t="shared" si="264"/>
        <v>5141.4070400000001</v>
      </c>
      <c r="AN228" s="1">
        <f t="shared" si="288"/>
        <v>5141.4070400000001</v>
      </c>
      <c r="AO228" s="1">
        <f t="shared" si="283"/>
        <v>5141.4070400000001</v>
      </c>
      <c r="AP228" s="1">
        <f t="shared" si="289"/>
        <v>4113.1256320000002</v>
      </c>
      <c r="AQ228" s="1">
        <f t="shared" si="265"/>
        <v>5141.4070400000001</v>
      </c>
      <c r="AR228" s="1">
        <f t="shared" si="290"/>
        <v>4402.5</v>
      </c>
      <c r="AS228" s="1">
        <f t="shared" si="291"/>
        <v>388.00375000000003</v>
      </c>
      <c r="AT228" s="1">
        <f t="shared" si="268"/>
        <v>5141.4070400000001</v>
      </c>
      <c r="AU228" s="1">
        <v>5428.0726162740011</v>
      </c>
      <c r="AV228" s="1">
        <f t="shared" si="300"/>
        <v>170.72165000000001</v>
      </c>
      <c r="AW228" s="1">
        <f t="shared" si="270"/>
        <v>5141.4070400000001</v>
      </c>
      <c r="AX228" s="1">
        <f t="shared" si="271"/>
        <v>4884.3366879999994</v>
      </c>
      <c r="AY228" s="1">
        <f t="shared" si="284"/>
        <v>4524.4381952000003</v>
      </c>
      <c r="AZ228" s="1">
        <v>0</v>
      </c>
      <c r="BA228" s="1">
        <v>0</v>
      </c>
      <c r="BB228" s="1">
        <v>0</v>
      </c>
      <c r="BC228" s="1">
        <f t="shared" si="295"/>
        <v>5141.4070400000001</v>
      </c>
      <c r="BD228" s="1">
        <f t="shared" si="296"/>
        <v>5655.5477440000004</v>
      </c>
      <c r="BE228" s="1">
        <f t="shared" si="297"/>
        <v>4627.2663360000006</v>
      </c>
      <c r="BF228" s="1">
        <v>0</v>
      </c>
      <c r="BG228" s="1">
        <v>0</v>
      </c>
      <c r="BH228" s="1">
        <v>0</v>
      </c>
      <c r="BI228" s="1">
        <f t="shared" si="273"/>
        <v>6169.6884479999999</v>
      </c>
      <c r="BJ228" s="1">
        <f t="shared" si="274"/>
        <v>5141.4070400000001</v>
      </c>
      <c r="BK228" s="2">
        <f t="shared" si="275"/>
        <v>4884.3366879999994</v>
      </c>
      <c r="BL228" s="1">
        <f t="shared" si="276"/>
        <v>5141.4070400000001</v>
      </c>
      <c r="BM228" s="1">
        <v>6139</v>
      </c>
      <c r="BN228" s="1">
        <f t="shared" si="277"/>
        <v>5141.4070400000001</v>
      </c>
      <c r="BO228" s="2">
        <f t="shared" si="298"/>
        <v>0</v>
      </c>
      <c r="BP228" s="2">
        <f t="shared" si="299"/>
        <v>6992.313574400001</v>
      </c>
      <c r="BQ228" s="22">
        <f t="shared" si="294"/>
        <v>0.79412987784213529</v>
      </c>
    </row>
    <row r="229" spans="1:69" ht="20.100000000000001" customHeight="1" x14ac:dyDescent="0.2">
      <c r="A229" s="17">
        <f t="shared" si="281"/>
        <v>227</v>
      </c>
      <c r="B229" s="24" t="s">
        <v>327</v>
      </c>
      <c r="C229" s="18" t="s">
        <v>64</v>
      </c>
      <c r="D229" s="19" t="s">
        <v>328</v>
      </c>
      <c r="E229" s="18" t="s">
        <v>306</v>
      </c>
      <c r="F229" s="8">
        <f>L229*5</f>
        <v>2662.55</v>
      </c>
      <c r="G229" s="24">
        <v>360</v>
      </c>
      <c r="H229" s="12">
        <v>0</v>
      </c>
      <c r="I229" s="24">
        <v>0</v>
      </c>
      <c r="J229" s="2">
        <f t="shared" si="249"/>
        <v>692.26300000000003</v>
      </c>
      <c r="K229" s="21" t="s">
        <v>307</v>
      </c>
      <c r="L229" s="2">
        <v>532.51</v>
      </c>
      <c r="M229" s="2">
        <v>20.026000000000003</v>
      </c>
      <c r="N229" s="1">
        <v>2150.5500000000002</v>
      </c>
      <c r="O229" s="2">
        <f t="shared" si="250"/>
        <v>532.51</v>
      </c>
      <c r="P229" s="2">
        <f t="shared" si="293"/>
        <v>665.63750000000005</v>
      </c>
      <c r="Q229" s="1">
        <v>0</v>
      </c>
      <c r="R229" s="1">
        <v>0</v>
      </c>
      <c r="S229" s="2">
        <f t="shared" si="251"/>
        <v>532.51</v>
      </c>
      <c r="T229" s="2">
        <v>2462</v>
      </c>
      <c r="V229" s="2">
        <f>455*5.9*1.063</f>
        <v>2853.6234999999997</v>
      </c>
      <c r="W229" s="2">
        <f t="shared" si="252"/>
        <v>532.51</v>
      </c>
      <c r="X229" s="1">
        <f t="shared" si="253"/>
        <v>532.51</v>
      </c>
      <c r="Y229" s="1">
        <f t="shared" si="254"/>
        <v>532.51</v>
      </c>
      <c r="Z229" s="1">
        <v>1454</v>
      </c>
      <c r="AA229" s="1">
        <f t="shared" si="255"/>
        <v>505.88449999999995</v>
      </c>
      <c r="AB229" s="1">
        <f t="shared" si="285"/>
        <v>505.88449999999995</v>
      </c>
      <c r="AC229" s="1">
        <v>0</v>
      </c>
      <c r="AD229" s="1">
        <v>0</v>
      </c>
      <c r="AE229" s="1">
        <f t="shared" si="257"/>
        <v>532.51</v>
      </c>
      <c r="AF229" s="1">
        <f t="shared" si="258"/>
        <v>532.51</v>
      </c>
      <c r="AG229" s="1">
        <v>0</v>
      </c>
      <c r="AH229" s="2">
        <f t="shared" si="286"/>
        <v>1863.7850000000001</v>
      </c>
      <c r="AI229" s="1">
        <f t="shared" si="260"/>
        <v>585.76100000000008</v>
      </c>
      <c r="AJ229" s="2">
        <f t="shared" si="261"/>
        <v>532.51</v>
      </c>
      <c r="AK229" s="1">
        <f t="shared" si="287"/>
        <v>724.21360000000004</v>
      </c>
      <c r="AL229" s="1">
        <f t="shared" si="263"/>
        <v>532.51</v>
      </c>
      <c r="AM229" s="1">
        <f t="shared" si="264"/>
        <v>532.51</v>
      </c>
      <c r="AN229" s="1">
        <f t="shared" si="288"/>
        <v>532.51</v>
      </c>
      <c r="AO229" s="1">
        <f t="shared" si="283"/>
        <v>532.51</v>
      </c>
      <c r="AP229" s="1">
        <f t="shared" si="289"/>
        <v>426.00800000000004</v>
      </c>
      <c r="AQ229" s="1">
        <f t="shared" si="265"/>
        <v>532.51</v>
      </c>
      <c r="AR229" s="2">
        <f t="shared" si="290"/>
        <v>1331.2750000000001</v>
      </c>
      <c r="AS229" s="1">
        <f t="shared" si="291"/>
        <v>50.065000000000012</v>
      </c>
      <c r="AT229" s="1">
        <f t="shared" si="268"/>
        <v>532.51</v>
      </c>
      <c r="AU229" s="1">
        <v>562.25008561950006</v>
      </c>
      <c r="AV229" s="1">
        <f t="shared" si="300"/>
        <v>22.028600000000004</v>
      </c>
      <c r="AW229" s="1">
        <f t="shared" si="270"/>
        <v>532.51</v>
      </c>
      <c r="AX229" s="1">
        <f t="shared" si="271"/>
        <v>505.88449999999995</v>
      </c>
      <c r="AY229" s="1">
        <f t="shared" si="284"/>
        <v>468.60879999999997</v>
      </c>
      <c r="AZ229" s="1">
        <v>0</v>
      </c>
      <c r="BA229" s="1">
        <v>0</v>
      </c>
      <c r="BB229" s="1">
        <v>0</v>
      </c>
      <c r="BC229" s="1">
        <f t="shared" si="295"/>
        <v>532.51</v>
      </c>
      <c r="BD229" s="1">
        <f t="shared" si="296"/>
        <v>585.76100000000008</v>
      </c>
      <c r="BE229" s="1">
        <f t="shared" si="297"/>
        <v>479.25900000000001</v>
      </c>
      <c r="BF229" s="1">
        <v>0</v>
      </c>
      <c r="BG229" s="1">
        <v>0</v>
      </c>
      <c r="BH229" s="1">
        <v>0</v>
      </c>
      <c r="BI229" s="1">
        <f t="shared" si="273"/>
        <v>639.01199999999994</v>
      </c>
      <c r="BJ229" s="1">
        <f t="shared" si="274"/>
        <v>532.51</v>
      </c>
      <c r="BK229" s="2">
        <f t="shared" si="275"/>
        <v>505.88449999999995</v>
      </c>
      <c r="BL229" s="1">
        <f t="shared" si="276"/>
        <v>532.51</v>
      </c>
      <c r="BM229" s="1">
        <v>392</v>
      </c>
      <c r="BN229" s="1">
        <f t="shared" si="277"/>
        <v>532.51</v>
      </c>
      <c r="BO229" s="2">
        <f t="shared" si="298"/>
        <v>0</v>
      </c>
      <c r="BP229" s="2">
        <f t="shared" si="299"/>
        <v>2853.6234999999997</v>
      </c>
      <c r="BQ229" s="22">
        <f t="shared" si="294"/>
        <v>1.0717633471671892</v>
      </c>
    </row>
    <row r="230" spans="1:69" ht="20.100000000000001" customHeight="1" x14ac:dyDescent="0.2">
      <c r="A230" s="17">
        <f t="shared" si="281"/>
        <v>228</v>
      </c>
      <c r="B230" s="24">
        <v>49505</v>
      </c>
      <c r="C230" s="18" t="s">
        <v>64</v>
      </c>
      <c r="D230" s="26" t="s">
        <v>329</v>
      </c>
      <c r="E230" s="18" t="s">
        <v>306</v>
      </c>
      <c r="F230" s="8">
        <v>6286</v>
      </c>
      <c r="G230" s="24">
        <v>360</v>
      </c>
      <c r="H230" s="12">
        <v>0</v>
      </c>
      <c r="I230" s="24">
        <v>0</v>
      </c>
      <c r="J230" s="2">
        <f t="shared" si="249"/>
        <v>4204.6479280000003</v>
      </c>
      <c r="K230" s="21" t="s">
        <v>307</v>
      </c>
      <c r="L230" s="2">
        <v>3234.34456</v>
      </c>
      <c r="M230" s="2">
        <v>65.084500000000006</v>
      </c>
      <c r="N230" s="1">
        <v>3655.4</v>
      </c>
      <c r="O230" s="1">
        <f t="shared" si="250"/>
        <v>3234.34456</v>
      </c>
      <c r="P230" s="2">
        <f t="shared" si="293"/>
        <v>4042.9306999999999</v>
      </c>
      <c r="Q230" s="1">
        <v>0</v>
      </c>
      <c r="R230" s="1">
        <v>0</v>
      </c>
      <c r="S230" s="2">
        <f t="shared" si="251"/>
        <v>3234.34456</v>
      </c>
      <c r="T230" s="1">
        <v>3241</v>
      </c>
      <c r="U230" s="1"/>
      <c r="V230" s="1">
        <f>643*5.9*1.063</f>
        <v>4032.7031000000002</v>
      </c>
      <c r="W230" s="2">
        <f t="shared" si="252"/>
        <v>3234.34456</v>
      </c>
      <c r="X230" s="1">
        <f t="shared" si="253"/>
        <v>3234.34456</v>
      </c>
      <c r="Y230" s="1">
        <f t="shared" si="254"/>
        <v>3234.34456</v>
      </c>
      <c r="Z230" s="1">
        <v>2369</v>
      </c>
      <c r="AA230" s="1">
        <f t="shared" si="255"/>
        <v>3072.627332</v>
      </c>
      <c r="AB230" s="1">
        <f t="shared" si="285"/>
        <v>3072.627332</v>
      </c>
      <c r="AC230" s="1">
        <v>0</v>
      </c>
      <c r="AD230" s="1">
        <v>0</v>
      </c>
      <c r="AE230" s="1">
        <f t="shared" si="257"/>
        <v>3234.34456</v>
      </c>
      <c r="AF230" s="1">
        <f t="shared" si="258"/>
        <v>3234.34456</v>
      </c>
      <c r="AG230" s="1">
        <v>0</v>
      </c>
      <c r="AH230" s="1">
        <f t="shared" si="286"/>
        <v>4400.2</v>
      </c>
      <c r="AI230" s="1">
        <f t="shared" si="260"/>
        <v>3557.7790160000004</v>
      </c>
      <c r="AJ230" s="2">
        <f t="shared" si="261"/>
        <v>3234.34456</v>
      </c>
      <c r="AK230" s="1">
        <f t="shared" si="287"/>
        <v>4398.7086016000003</v>
      </c>
      <c r="AL230" s="1">
        <f t="shared" si="263"/>
        <v>3234.34456</v>
      </c>
      <c r="AM230" s="1">
        <f t="shared" si="264"/>
        <v>3234.34456</v>
      </c>
      <c r="AN230" s="1">
        <f t="shared" si="288"/>
        <v>3234.34456</v>
      </c>
      <c r="AO230" s="1">
        <f t="shared" si="283"/>
        <v>3234.34456</v>
      </c>
      <c r="AP230" s="1">
        <f t="shared" si="289"/>
        <v>2587.4756480000001</v>
      </c>
      <c r="AQ230" s="1">
        <f t="shared" si="265"/>
        <v>3234.34456</v>
      </c>
      <c r="AR230" s="1">
        <f t="shared" si="290"/>
        <v>3143</v>
      </c>
      <c r="AS230" s="1">
        <f t="shared" si="291"/>
        <v>162.71125000000001</v>
      </c>
      <c r="AT230" s="1">
        <f t="shared" si="268"/>
        <v>3234.34456</v>
      </c>
      <c r="AU230" s="1">
        <v>3414.6794838735004</v>
      </c>
      <c r="AV230" s="1">
        <f t="shared" si="300"/>
        <v>71.592950000000016</v>
      </c>
      <c r="AW230" s="1">
        <f t="shared" si="270"/>
        <v>3234.34456</v>
      </c>
      <c r="AX230" s="1">
        <f t="shared" si="271"/>
        <v>3072.627332</v>
      </c>
      <c r="AY230" s="1">
        <f t="shared" si="284"/>
        <v>2846.2232128000001</v>
      </c>
      <c r="AZ230" s="1">
        <v>0</v>
      </c>
      <c r="BA230" s="1">
        <v>0</v>
      </c>
      <c r="BB230" s="1">
        <v>0</v>
      </c>
      <c r="BC230" s="1">
        <f t="shared" si="295"/>
        <v>3234.34456</v>
      </c>
      <c r="BD230" s="1">
        <f t="shared" si="296"/>
        <v>3557.7790160000004</v>
      </c>
      <c r="BE230" s="1">
        <f t="shared" si="297"/>
        <v>2910.910104</v>
      </c>
      <c r="BF230" s="1">
        <v>0</v>
      </c>
      <c r="BG230" s="1">
        <v>0</v>
      </c>
      <c r="BH230" s="1">
        <v>0</v>
      </c>
      <c r="BI230" s="1">
        <f t="shared" si="273"/>
        <v>3881.2134719999999</v>
      </c>
      <c r="BJ230" s="1">
        <f t="shared" si="274"/>
        <v>3234.34456</v>
      </c>
      <c r="BK230" s="2">
        <f t="shared" si="275"/>
        <v>3072.627332</v>
      </c>
      <c r="BL230" s="1">
        <f t="shared" si="276"/>
        <v>3234.34456</v>
      </c>
      <c r="BM230" s="1">
        <v>4336</v>
      </c>
      <c r="BN230" s="1">
        <f t="shared" si="277"/>
        <v>3234.34456</v>
      </c>
      <c r="BO230" s="2">
        <f t="shared" si="298"/>
        <v>0</v>
      </c>
      <c r="BP230" s="2">
        <f t="shared" si="299"/>
        <v>4400.2</v>
      </c>
      <c r="BQ230" s="22">
        <f t="shared" si="294"/>
        <v>0.7</v>
      </c>
    </row>
    <row r="231" spans="1:69" ht="20.100000000000001" customHeight="1" x14ac:dyDescent="0.2">
      <c r="A231" s="17">
        <f t="shared" si="281"/>
        <v>229</v>
      </c>
      <c r="B231" s="24" t="s">
        <v>330</v>
      </c>
      <c r="C231" s="18" t="s">
        <v>64</v>
      </c>
      <c r="D231" s="26" t="s">
        <v>331</v>
      </c>
      <c r="E231" s="18" t="s">
        <v>306</v>
      </c>
      <c r="F231" s="8">
        <v>23225</v>
      </c>
      <c r="G231" s="24">
        <v>360</v>
      </c>
      <c r="H231" s="12">
        <v>0</v>
      </c>
      <c r="I231" s="24">
        <v>0</v>
      </c>
      <c r="J231" s="2">
        <f t="shared" si="249"/>
        <v>11765.237327999999</v>
      </c>
      <c r="K231" s="21" t="s">
        <v>307</v>
      </c>
      <c r="L231" s="2">
        <v>9050.1825599999993</v>
      </c>
      <c r="M231" s="2">
        <v>155.20150000000001</v>
      </c>
      <c r="N231" s="1">
        <v>3907</v>
      </c>
      <c r="O231" s="1">
        <f t="shared" si="250"/>
        <v>9050.1825599999993</v>
      </c>
      <c r="P231" s="2">
        <f t="shared" si="293"/>
        <v>11312.7282</v>
      </c>
      <c r="Q231" s="1">
        <v>0</v>
      </c>
      <c r="R231" s="1">
        <v>0</v>
      </c>
      <c r="S231" s="2">
        <f t="shared" si="251"/>
        <v>9050.1825599999993</v>
      </c>
      <c r="T231" s="1">
        <v>4167</v>
      </c>
      <c r="U231" s="1"/>
      <c r="V231" s="1">
        <f>340*5.9*1.063</f>
        <v>2132.3780000000002</v>
      </c>
      <c r="W231" s="2">
        <f t="shared" si="252"/>
        <v>9050.1825599999993</v>
      </c>
      <c r="X231" s="1">
        <f t="shared" si="253"/>
        <v>9050.1825599999993</v>
      </c>
      <c r="Y231" s="1">
        <f t="shared" si="254"/>
        <v>9050.1825599999993</v>
      </c>
      <c r="Z231" s="1">
        <f>F231*0.392</f>
        <v>9104.2000000000007</v>
      </c>
      <c r="AA231" s="1">
        <f t="shared" si="255"/>
        <v>8597.6734319999996</v>
      </c>
      <c r="AB231" s="1">
        <f t="shared" si="285"/>
        <v>8597.6734319999996</v>
      </c>
      <c r="AC231" s="1">
        <v>0</v>
      </c>
      <c r="AD231" s="1">
        <v>0</v>
      </c>
      <c r="AE231" s="1">
        <f t="shared" si="257"/>
        <v>9050.1825599999993</v>
      </c>
      <c r="AF231" s="1">
        <f t="shared" si="258"/>
        <v>9050.1825599999993</v>
      </c>
      <c r="AG231" s="1">
        <v>0</v>
      </c>
      <c r="AH231" s="1">
        <f t="shared" si="286"/>
        <v>16257.499999999998</v>
      </c>
      <c r="AI231" s="1">
        <f t="shared" si="260"/>
        <v>9955.2008160000005</v>
      </c>
      <c r="AJ231" s="2">
        <f t="shared" si="261"/>
        <v>9050.1825599999993</v>
      </c>
      <c r="AK231" s="1">
        <f t="shared" si="287"/>
        <v>12308.248281599999</v>
      </c>
      <c r="AL231" s="1">
        <f t="shared" si="263"/>
        <v>9050.1825599999993</v>
      </c>
      <c r="AM231" s="1">
        <f t="shared" si="264"/>
        <v>9050.1825599999993</v>
      </c>
      <c r="AN231" s="1">
        <f t="shared" si="288"/>
        <v>9050.1825599999993</v>
      </c>
      <c r="AO231" s="1">
        <f t="shared" si="283"/>
        <v>9050.1825599999993</v>
      </c>
      <c r="AP231" s="1">
        <f t="shared" si="289"/>
        <v>7240.1460479999996</v>
      </c>
      <c r="AQ231" s="1">
        <f t="shared" si="265"/>
        <v>9050.1825599999993</v>
      </c>
      <c r="AR231" s="1">
        <f t="shared" si="290"/>
        <v>11612.5</v>
      </c>
      <c r="AS231" s="1">
        <f t="shared" si="291"/>
        <v>388.00375000000003</v>
      </c>
      <c r="AT231" s="1">
        <f t="shared" si="268"/>
        <v>9050.1825599999993</v>
      </c>
      <c r="AU231" s="1">
        <v>9554.7868013610005</v>
      </c>
      <c r="AV231" s="1">
        <f t="shared" si="300"/>
        <v>170.72165000000001</v>
      </c>
      <c r="AW231" s="1">
        <f t="shared" si="270"/>
        <v>9050.1825599999993</v>
      </c>
      <c r="AX231" s="1">
        <f t="shared" si="271"/>
        <v>8597.6734319999996</v>
      </c>
      <c r="AY231" s="1">
        <f t="shared" si="284"/>
        <v>7964.1606527999993</v>
      </c>
      <c r="AZ231" s="1">
        <v>0</v>
      </c>
      <c r="BA231" s="1">
        <v>0</v>
      </c>
      <c r="BB231" s="1">
        <v>0</v>
      </c>
      <c r="BC231" s="1">
        <f t="shared" si="295"/>
        <v>9050.1825599999993</v>
      </c>
      <c r="BD231" s="1">
        <f t="shared" si="296"/>
        <v>9955.2008160000005</v>
      </c>
      <c r="BE231" s="1">
        <f t="shared" si="297"/>
        <v>8145.1643039999999</v>
      </c>
      <c r="BF231" s="1">
        <v>0</v>
      </c>
      <c r="BG231" s="1">
        <v>0</v>
      </c>
      <c r="BH231" s="1">
        <v>0</v>
      </c>
      <c r="BI231" s="1">
        <f t="shared" si="273"/>
        <v>10860.219071999998</v>
      </c>
      <c r="BJ231" s="1">
        <f t="shared" si="274"/>
        <v>9050.1825599999993</v>
      </c>
      <c r="BK231" s="2">
        <f t="shared" si="275"/>
        <v>8597.6734319999996</v>
      </c>
      <c r="BL231" s="1">
        <f t="shared" si="276"/>
        <v>9050.1825599999993</v>
      </c>
      <c r="BM231" s="1">
        <v>11155</v>
      </c>
      <c r="BN231" s="1">
        <f t="shared" si="277"/>
        <v>9050.1825599999993</v>
      </c>
      <c r="BO231" s="2">
        <f t="shared" si="298"/>
        <v>0</v>
      </c>
      <c r="BP231" s="2">
        <f t="shared" si="299"/>
        <v>16257.499999999998</v>
      </c>
      <c r="BQ231" s="22">
        <f t="shared" si="294"/>
        <v>0.7</v>
      </c>
    </row>
    <row r="232" spans="1:69" ht="20.100000000000001" customHeight="1" x14ac:dyDescent="0.2">
      <c r="A232" s="17">
        <f t="shared" si="281"/>
        <v>230</v>
      </c>
      <c r="B232" s="24">
        <v>62323</v>
      </c>
      <c r="C232" s="18" t="s">
        <v>64</v>
      </c>
      <c r="D232" s="26" t="s">
        <v>332</v>
      </c>
      <c r="E232" s="18" t="s">
        <v>306</v>
      </c>
      <c r="F232" s="8">
        <f>L232*5</f>
        <v>3223.7172000000005</v>
      </c>
      <c r="G232" s="24">
        <v>360</v>
      </c>
      <c r="H232" s="12">
        <v>0</v>
      </c>
      <c r="I232" s="24">
        <v>0</v>
      </c>
      <c r="J232" s="2">
        <f t="shared" si="249"/>
        <v>838.16647200000011</v>
      </c>
      <c r="K232" s="21" t="s">
        <v>307</v>
      </c>
      <c r="L232" s="2">
        <v>644.74344000000008</v>
      </c>
      <c r="M232" s="2">
        <v>18.023400000000002</v>
      </c>
      <c r="N232" s="1">
        <v>1178.3</v>
      </c>
      <c r="O232" s="1">
        <f t="shared" si="250"/>
        <v>644.74344000000008</v>
      </c>
      <c r="P232" s="2">
        <f t="shared" si="293"/>
        <v>805.92930000000013</v>
      </c>
      <c r="Q232" s="1">
        <v>0</v>
      </c>
      <c r="R232" s="1">
        <v>0</v>
      </c>
      <c r="S232" s="2">
        <f t="shared" si="251"/>
        <v>644.74344000000008</v>
      </c>
      <c r="T232" s="2">
        <v>1726</v>
      </c>
      <c r="V232" s="1">
        <f>340*5.9*1.063</f>
        <v>2132.3780000000002</v>
      </c>
      <c r="W232" s="2">
        <f t="shared" si="252"/>
        <v>644.74344000000008</v>
      </c>
      <c r="X232" s="1">
        <f t="shared" si="253"/>
        <v>644.74344000000008</v>
      </c>
      <c r="Y232" s="1">
        <f t="shared" si="254"/>
        <v>644.74344000000008</v>
      </c>
      <c r="Z232" s="1">
        <v>1093</v>
      </c>
      <c r="AA232" s="1">
        <f t="shared" si="255"/>
        <v>612.50626800000009</v>
      </c>
      <c r="AB232" s="1">
        <f t="shared" si="285"/>
        <v>612.50626800000009</v>
      </c>
      <c r="AC232" s="1">
        <v>0</v>
      </c>
      <c r="AD232" s="1">
        <v>0</v>
      </c>
      <c r="AE232" s="1">
        <f t="shared" si="257"/>
        <v>644.74344000000008</v>
      </c>
      <c r="AF232" s="1">
        <f t="shared" si="258"/>
        <v>644.74344000000008</v>
      </c>
      <c r="AG232" s="1">
        <v>0</v>
      </c>
      <c r="AH232" s="1">
        <f t="shared" si="286"/>
        <v>2256.6020400000002</v>
      </c>
      <c r="AI232" s="1">
        <f t="shared" si="260"/>
        <v>709.21778400000017</v>
      </c>
      <c r="AJ232" s="2">
        <f t="shared" si="261"/>
        <v>644.74344000000008</v>
      </c>
      <c r="AK232" s="1">
        <f t="shared" si="287"/>
        <v>876.85107840000012</v>
      </c>
      <c r="AL232" s="1">
        <f t="shared" si="263"/>
        <v>644.74344000000008</v>
      </c>
      <c r="AM232" s="1">
        <f t="shared" si="264"/>
        <v>644.74344000000008</v>
      </c>
      <c r="AN232" s="1">
        <f t="shared" si="288"/>
        <v>644.74344000000008</v>
      </c>
      <c r="AO232" s="1">
        <f t="shared" si="283"/>
        <v>644.74344000000008</v>
      </c>
      <c r="AP232" s="1">
        <f t="shared" si="289"/>
        <v>515.79475200000013</v>
      </c>
      <c r="AQ232" s="1">
        <f t="shared" si="265"/>
        <v>644.74344000000008</v>
      </c>
      <c r="AR232" s="1">
        <f t="shared" si="290"/>
        <v>1611.8586000000003</v>
      </c>
      <c r="AS232" s="1">
        <f t="shared" si="291"/>
        <v>45.058500000000009</v>
      </c>
      <c r="AT232" s="1">
        <f t="shared" si="268"/>
        <v>644.74344000000008</v>
      </c>
      <c r="AU232" s="1">
        <v>680.69191642650014</v>
      </c>
      <c r="AV232" s="1">
        <f t="shared" si="300"/>
        <v>19.825740000000003</v>
      </c>
      <c r="AW232" s="1">
        <f t="shared" si="270"/>
        <v>644.74344000000008</v>
      </c>
      <c r="AX232" s="1">
        <f t="shared" si="271"/>
        <v>612.50626800000009</v>
      </c>
      <c r="AY232" s="1">
        <f t="shared" si="284"/>
        <v>567.37422720000006</v>
      </c>
      <c r="AZ232" s="1">
        <v>0</v>
      </c>
      <c r="BA232" s="1">
        <v>0</v>
      </c>
      <c r="BB232" s="1">
        <v>0</v>
      </c>
      <c r="BC232" s="1">
        <f t="shared" si="295"/>
        <v>644.74344000000008</v>
      </c>
      <c r="BD232" s="1">
        <f t="shared" si="296"/>
        <v>709.21778400000017</v>
      </c>
      <c r="BE232" s="1">
        <f t="shared" si="297"/>
        <v>580.2690960000001</v>
      </c>
      <c r="BF232" s="1">
        <v>0</v>
      </c>
      <c r="BG232" s="1">
        <v>0</v>
      </c>
      <c r="BH232" s="1">
        <v>0</v>
      </c>
      <c r="BI232" s="1">
        <f t="shared" si="273"/>
        <v>773.69212800000003</v>
      </c>
      <c r="BJ232" s="1">
        <f t="shared" si="274"/>
        <v>644.74344000000008</v>
      </c>
      <c r="BK232" s="2">
        <f t="shared" si="275"/>
        <v>612.50626800000009</v>
      </c>
      <c r="BL232" s="1">
        <f t="shared" si="276"/>
        <v>644.74344000000008</v>
      </c>
      <c r="BM232" s="1">
        <v>986</v>
      </c>
      <c r="BN232" s="1">
        <f t="shared" si="277"/>
        <v>644.74344000000008</v>
      </c>
      <c r="BO232" s="2">
        <f t="shared" si="298"/>
        <v>0</v>
      </c>
      <c r="BP232" s="2">
        <f t="shared" si="299"/>
        <v>2256.6020400000002</v>
      </c>
      <c r="BQ232" s="22">
        <f t="shared" si="294"/>
        <v>0.7</v>
      </c>
    </row>
    <row r="233" spans="1:69" ht="20.100000000000001" customHeight="1" x14ac:dyDescent="0.2">
      <c r="A233" s="17">
        <f t="shared" si="281"/>
        <v>231</v>
      </c>
      <c r="B233" s="24">
        <v>19120</v>
      </c>
      <c r="C233" s="18" t="s">
        <v>64</v>
      </c>
      <c r="D233" s="27" t="s">
        <v>333</v>
      </c>
      <c r="E233" s="18" t="s">
        <v>306</v>
      </c>
      <c r="F233" s="8">
        <v>4767</v>
      </c>
      <c r="G233" s="24">
        <v>360</v>
      </c>
      <c r="H233" s="12">
        <v>0</v>
      </c>
      <c r="I233" s="24">
        <v>0</v>
      </c>
      <c r="J233" s="2">
        <f t="shared" si="249"/>
        <v>4170.7380000000003</v>
      </c>
      <c r="K233" s="21" t="s">
        <v>307</v>
      </c>
      <c r="L233" s="2">
        <v>3208.26</v>
      </c>
      <c r="M233" s="2">
        <v>65.084500000000006</v>
      </c>
      <c r="N233" s="1">
        <v>3341.55</v>
      </c>
      <c r="O233" s="1">
        <f t="shared" si="250"/>
        <v>3208.26</v>
      </c>
      <c r="P233" s="2">
        <f t="shared" si="293"/>
        <v>4010.3250000000003</v>
      </c>
      <c r="Q233" s="1">
        <v>0</v>
      </c>
      <c r="R233" s="1">
        <v>0</v>
      </c>
      <c r="S233" s="2">
        <f t="shared" si="251"/>
        <v>3208.26</v>
      </c>
      <c r="T233" s="2">
        <v>3030</v>
      </c>
      <c r="V233" s="1">
        <f>520*5.9*1.063</f>
        <v>3261.2839999999997</v>
      </c>
      <c r="W233" s="2">
        <f t="shared" si="252"/>
        <v>3208.26</v>
      </c>
      <c r="X233" s="1">
        <f t="shared" si="253"/>
        <v>3208.26</v>
      </c>
      <c r="Y233" s="1">
        <f t="shared" si="254"/>
        <v>3208.26</v>
      </c>
      <c r="Z233" s="1">
        <v>1820</v>
      </c>
      <c r="AA233" s="1">
        <f t="shared" si="255"/>
        <v>3047.8470000000002</v>
      </c>
      <c r="AB233" s="1">
        <f t="shared" si="285"/>
        <v>3047.8470000000002</v>
      </c>
      <c r="AC233" s="1">
        <v>0</v>
      </c>
      <c r="AD233" s="1">
        <v>0</v>
      </c>
      <c r="AE233" s="1">
        <f t="shared" si="257"/>
        <v>3208.26</v>
      </c>
      <c r="AF233" s="1">
        <f t="shared" si="258"/>
        <v>3208.26</v>
      </c>
      <c r="AG233" s="1">
        <v>0</v>
      </c>
      <c r="AH233" s="1">
        <f t="shared" si="286"/>
        <v>3336.8999999999996</v>
      </c>
      <c r="AI233" s="1">
        <f t="shared" si="260"/>
        <v>3529.0860000000007</v>
      </c>
      <c r="AJ233" s="2">
        <f t="shared" si="261"/>
        <v>3208.26</v>
      </c>
      <c r="AK233" s="1">
        <f t="shared" si="287"/>
        <v>4363.2336000000005</v>
      </c>
      <c r="AL233" s="1">
        <f t="shared" si="263"/>
        <v>3208.26</v>
      </c>
      <c r="AM233" s="1">
        <f t="shared" si="264"/>
        <v>3208.26</v>
      </c>
      <c r="AN233" s="1">
        <f t="shared" si="288"/>
        <v>3208.26</v>
      </c>
      <c r="AO233" s="1">
        <f t="shared" si="283"/>
        <v>3208.26</v>
      </c>
      <c r="AP233" s="1">
        <f t="shared" si="289"/>
        <v>2566.6080000000002</v>
      </c>
      <c r="AQ233" s="1">
        <f t="shared" si="265"/>
        <v>3208.26</v>
      </c>
      <c r="AR233" s="1">
        <f t="shared" si="290"/>
        <v>2383.5</v>
      </c>
      <c r="AS233" s="1">
        <f t="shared" si="291"/>
        <v>162.71125000000001</v>
      </c>
      <c r="AT233" s="1">
        <f t="shared" si="268"/>
        <v>3208.26</v>
      </c>
      <c r="AU233" s="1">
        <v>3387.1446007290001</v>
      </c>
      <c r="AV233" s="1">
        <f t="shared" si="300"/>
        <v>71.592950000000016</v>
      </c>
      <c r="AW233" s="1">
        <f t="shared" si="270"/>
        <v>3208.26</v>
      </c>
      <c r="AX233" s="1">
        <f t="shared" si="271"/>
        <v>3047.8470000000002</v>
      </c>
      <c r="AY233" s="1">
        <f t="shared" si="284"/>
        <v>2823.2688000000003</v>
      </c>
      <c r="AZ233" s="1">
        <v>0</v>
      </c>
      <c r="BA233" s="1">
        <v>0</v>
      </c>
      <c r="BB233" s="1">
        <v>0</v>
      </c>
      <c r="BC233" s="1">
        <f t="shared" si="295"/>
        <v>3208.26</v>
      </c>
      <c r="BD233" s="1">
        <f t="shared" si="296"/>
        <v>3529.0860000000007</v>
      </c>
      <c r="BE233" s="1">
        <f t="shared" si="297"/>
        <v>2887.4340000000002</v>
      </c>
      <c r="BF233" s="1">
        <v>0</v>
      </c>
      <c r="BG233" s="1">
        <v>0</v>
      </c>
      <c r="BH233" s="1">
        <v>0</v>
      </c>
      <c r="BI233" s="1">
        <f t="shared" si="273"/>
        <v>3849.9120000000003</v>
      </c>
      <c r="BJ233" s="1">
        <f t="shared" si="274"/>
        <v>3208.26</v>
      </c>
      <c r="BK233" s="2">
        <f t="shared" si="275"/>
        <v>3047.8470000000002</v>
      </c>
      <c r="BL233" s="1">
        <f t="shared" si="276"/>
        <v>3208.26</v>
      </c>
      <c r="BM233" s="1">
        <v>3067</v>
      </c>
      <c r="BN233" s="1">
        <f t="shared" si="277"/>
        <v>3208.26</v>
      </c>
      <c r="BO233" s="2">
        <f t="shared" si="298"/>
        <v>0</v>
      </c>
      <c r="BP233" s="2">
        <f t="shared" si="299"/>
        <v>4363.2336000000005</v>
      </c>
      <c r="BQ233" s="22">
        <f t="shared" si="294"/>
        <v>0.91529968533668982</v>
      </c>
    </row>
    <row r="234" spans="1:69" ht="20.100000000000001" customHeight="1" x14ac:dyDescent="0.2">
      <c r="A234" s="17">
        <f t="shared" si="281"/>
        <v>232</v>
      </c>
      <c r="B234" s="24">
        <v>64483</v>
      </c>
      <c r="C234" s="18" t="s">
        <v>64</v>
      </c>
      <c r="D234" s="19" t="s">
        <v>334</v>
      </c>
      <c r="E234" s="18" t="s">
        <v>306</v>
      </c>
      <c r="F234" s="9">
        <v>2022</v>
      </c>
      <c r="G234" s="24">
        <v>360</v>
      </c>
      <c r="H234" s="12">
        <v>0</v>
      </c>
      <c r="I234" s="24">
        <v>0</v>
      </c>
      <c r="J234" s="2">
        <v>0</v>
      </c>
      <c r="K234" s="21" t="s">
        <v>307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1">
        <f t="shared" si="295"/>
        <v>0</v>
      </c>
      <c r="BD234" s="1">
        <f t="shared" si="296"/>
        <v>0</v>
      </c>
      <c r="BE234" s="1">
        <f t="shared" si="297"/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f>MIN(N234:BN234:BN234)</f>
        <v>0</v>
      </c>
      <c r="BP234" s="2">
        <f t="shared" si="299"/>
        <v>0</v>
      </c>
      <c r="BQ234" s="22"/>
    </row>
    <row r="235" spans="1:69" ht="20.100000000000001" customHeight="1" x14ac:dyDescent="0.2">
      <c r="A235" s="17">
        <f t="shared" si="281"/>
        <v>233</v>
      </c>
      <c r="B235" s="24">
        <v>42820</v>
      </c>
      <c r="C235" s="18" t="s">
        <v>88</v>
      </c>
      <c r="D235" s="19" t="s">
        <v>335</v>
      </c>
      <c r="E235" s="18" t="s">
        <v>306</v>
      </c>
      <c r="F235" s="9">
        <v>0</v>
      </c>
      <c r="G235" s="25" t="s">
        <v>88</v>
      </c>
      <c r="H235" s="12">
        <v>0</v>
      </c>
      <c r="I235" s="24">
        <v>0</v>
      </c>
      <c r="J235" s="2">
        <v>0</v>
      </c>
      <c r="K235" s="21" t="s">
        <v>307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1">
        <f t="shared" si="295"/>
        <v>0</v>
      </c>
      <c r="BD235" s="1">
        <f t="shared" si="296"/>
        <v>0</v>
      </c>
      <c r="BE235" s="1">
        <f t="shared" si="297"/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f>MIN(N235:BN235:BN235)</f>
        <v>0</v>
      </c>
      <c r="BP235" s="2">
        <f t="shared" si="299"/>
        <v>0</v>
      </c>
      <c r="BQ235" s="22"/>
    </row>
    <row r="236" spans="1:69" ht="20.100000000000001" customHeight="1" x14ac:dyDescent="0.2">
      <c r="A236" s="17">
        <f t="shared" si="281"/>
        <v>234</v>
      </c>
      <c r="B236" s="24">
        <v>45391</v>
      </c>
      <c r="C236" s="18" t="s">
        <v>88</v>
      </c>
      <c r="D236" s="19" t="s">
        <v>336</v>
      </c>
      <c r="E236" s="18" t="s">
        <v>306</v>
      </c>
      <c r="F236" s="9">
        <v>0</v>
      </c>
      <c r="G236" s="25" t="s">
        <v>88</v>
      </c>
      <c r="H236" s="12">
        <v>0</v>
      </c>
      <c r="I236" s="24">
        <v>0</v>
      </c>
      <c r="J236" s="2">
        <v>0</v>
      </c>
      <c r="K236" s="21" t="s">
        <v>307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1">
        <f t="shared" si="295"/>
        <v>0</v>
      </c>
      <c r="BD236" s="1">
        <f t="shared" si="296"/>
        <v>0</v>
      </c>
      <c r="BE236" s="1">
        <f t="shared" si="297"/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f>MIN(N236:BN236:BN236)</f>
        <v>0</v>
      </c>
      <c r="BP236" s="2">
        <f t="shared" si="299"/>
        <v>0</v>
      </c>
      <c r="BQ236" s="22"/>
    </row>
    <row r="237" spans="1:69" ht="20.100000000000001" customHeight="1" x14ac:dyDescent="0.2">
      <c r="A237" s="17">
        <f t="shared" si="281"/>
        <v>235</v>
      </c>
      <c r="B237" s="24">
        <v>55700</v>
      </c>
      <c r="C237" s="18" t="s">
        <v>88</v>
      </c>
      <c r="D237" s="19" t="s">
        <v>337</v>
      </c>
      <c r="E237" s="18" t="s">
        <v>306</v>
      </c>
      <c r="F237" s="9">
        <v>0</v>
      </c>
      <c r="G237" s="25" t="s">
        <v>88</v>
      </c>
      <c r="H237" s="12">
        <v>0</v>
      </c>
      <c r="I237" s="24">
        <v>0</v>
      </c>
      <c r="J237" s="2">
        <v>0</v>
      </c>
      <c r="K237" s="21" t="s">
        <v>307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1">
        <f t="shared" si="295"/>
        <v>0</v>
      </c>
      <c r="BD237" s="1">
        <f t="shared" si="296"/>
        <v>0</v>
      </c>
      <c r="BE237" s="1">
        <f t="shared" si="297"/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f>MIN(N237:BN237:BN237)</f>
        <v>0</v>
      </c>
      <c r="BP237" s="2">
        <f t="shared" si="299"/>
        <v>0</v>
      </c>
      <c r="BQ237" s="22"/>
    </row>
    <row r="238" spans="1:69" ht="20.100000000000001" customHeight="1" x14ac:dyDescent="0.2">
      <c r="A238" s="17">
        <f t="shared" si="281"/>
        <v>236</v>
      </c>
      <c r="B238" s="24">
        <v>59400</v>
      </c>
      <c r="C238" s="18" t="s">
        <v>88</v>
      </c>
      <c r="D238" s="19" t="s">
        <v>338</v>
      </c>
      <c r="E238" s="18" t="s">
        <v>306</v>
      </c>
      <c r="F238" s="9">
        <v>0</v>
      </c>
      <c r="G238" s="25" t="s">
        <v>88</v>
      </c>
      <c r="H238" s="12">
        <v>0</v>
      </c>
      <c r="I238" s="24">
        <v>0</v>
      </c>
      <c r="J238" s="2">
        <v>0</v>
      </c>
      <c r="K238" s="21" t="s">
        <v>307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1">
        <f t="shared" si="295"/>
        <v>0</v>
      </c>
      <c r="BD238" s="1">
        <f t="shared" si="296"/>
        <v>0</v>
      </c>
      <c r="BE238" s="1">
        <f t="shared" si="297"/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f>MIN(N238:BN238:BN238)</f>
        <v>0</v>
      </c>
      <c r="BP238" s="2">
        <f t="shared" si="299"/>
        <v>0</v>
      </c>
      <c r="BQ238" s="22"/>
    </row>
    <row r="239" spans="1:69" ht="20.100000000000001" customHeight="1" x14ac:dyDescent="0.2">
      <c r="A239" s="17">
        <f t="shared" si="281"/>
        <v>237</v>
      </c>
      <c r="B239" s="24">
        <v>59510</v>
      </c>
      <c r="C239" s="18" t="s">
        <v>88</v>
      </c>
      <c r="D239" s="19" t="s">
        <v>339</v>
      </c>
      <c r="E239" s="18" t="s">
        <v>306</v>
      </c>
      <c r="F239" s="9">
        <v>0</v>
      </c>
      <c r="G239" s="25" t="s">
        <v>88</v>
      </c>
      <c r="H239" s="12">
        <v>0</v>
      </c>
      <c r="I239" s="24">
        <v>0</v>
      </c>
      <c r="J239" s="2">
        <v>0</v>
      </c>
      <c r="K239" s="21" t="s">
        <v>307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1">
        <f t="shared" si="295"/>
        <v>0</v>
      </c>
      <c r="BD239" s="1">
        <f t="shared" si="296"/>
        <v>0</v>
      </c>
      <c r="BE239" s="1">
        <f t="shared" si="297"/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f>MIN(N239:BN239:BN239)</f>
        <v>0</v>
      </c>
      <c r="BP239" s="2">
        <f t="shared" si="299"/>
        <v>0</v>
      </c>
      <c r="BQ239" s="22"/>
    </row>
    <row r="240" spans="1:69" ht="20.100000000000001" customHeight="1" x14ac:dyDescent="0.2">
      <c r="A240" s="17">
        <f t="shared" si="281"/>
        <v>238</v>
      </c>
      <c r="B240" s="24">
        <v>59610</v>
      </c>
      <c r="C240" s="18" t="s">
        <v>88</v>
      </c>
      <c r="D240" s="19" t="s">
        <v>340</v>
      </c>
      <c r="E240" s="18" t="s">
        <v>306</v>
      </c>
      <c r="F240" s="9">
        <v>0</v>
      </c>
      <c r="G240" s="25" t="s">
        <v>88</v>
      </c>
      <c r="H240" s="12">
        <v>0</v>
      </c>
      <c r="I240" s="24">
        <v>0</v>
      </c>
      <c r="J240" s="2">
        <v>0</v>
      </c>
      <c r="K240" s="21" t="s">
        <v>307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1">
        <f t="shared" si="295"/>
        <v>0</v>
      </c>
      <c r="BD240" s="1">
        <f t="shared" si="296"/>
        <v>0</v>
      </c>
      <c r="BE240" s="1">
        <f t="shared" si="297"/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f>MIN(N240:BN240:BN240)</f>
        <v>0</v>
      </c>
      <c r="BP240" s="2">
        <f t="shared" si="299"/>
        <v>0</v>
      </c>
      <c r="BQ240" s="22"/>
    </row>
    <row r="241" spans="1:69" ht="20.100000000000001" customHeight="1" x14ac:dyDescent="0.2">
      <c r="A241" s="17">
        <f t="shared" si="281"/>
        <v>239</v>
      </c>
      <c r="B241" s="24">
        <v>62322</v>
      </c>
      <c r="C241" s="18" t="s">
        <v>88</v>
      </c>
      <c r="D241" s="19" t="s">
        <v>341</v>
      </c>
      <c r="E241" s="18" t="s">
        <v>306</v>
      </c>
      <c r="F241" s="9">
        <v>0</v>
      </c>
      <c r="G241" s="25" t="s">
        <v>88</v>
      </c>
      <c r="H241" s="12">
        <v>0</v>
      </c>
      <c r="I241" s="24">
        <v>0</v>
      </c>
      <c r="J241" s="2">
        <v>0</v>
      </c>
      <c r="K241" s="21" t="s">
        <v>307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1">
        <f t="shared" si="295"/>
        <v>0</v>
      </c>
      <c r="BD241" s="1">
        <f t="shared" si="296"/>
        <v>0</v>
      </c>
      <c r="BE241" s="1">
        <f t="shared" si="297"/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f>MIN(N241:BN241:BN241)</f>
        <v>0</v>
      </c>
      <c r="BP241" s="2">
        <f t="shared" si="299"/>
        <v>0</v>
      </c>
      <c r="BQ241" s="22"/>
    </row>
    <row r="242" spans="1:69" ht="20.100000000000001" customHeight="1" x14ac:dyDescent="0.2">
      <c r="A242" s="17">
        <f t="shared" si="281"/>
        <v>240</v>
      </c>
      <c r="B242" s="24">
        <v>66821</v>
      </c>
      <c r="C242" s="18" t="s">
        <v>88</v>
      </c>
      <c r="D242" s="19" t="s">
        <v>342</v>
      </c>
      <c r="E242" s="18" t="s">
        <v>306</v>
      </c>
      <c r="F242" s="9">
        <v>0</v>
      </c>
      <c r="G242" s="25" t="s">
        <v>88</v>
      </c>
      <c r="H242" s="12">
        <v>0</v>
      </c>
      <c r="I242" s="24">
        <v>0</v>
      </c>
      <c r="J242" s="2">
        <v>0</v>
      </c>
      <c r="K242" s="21" t="s">
        <v>307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1">
        <f t="shared" si="295"/>
        <v>0</v>
      </c>
      <c r="BD242" s="1">
        <f t="shared" si="296"/>
        <v>0</v>
      </c>
      <c r="BE242" s="1">
        <f t="shared" si="297"/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f>MIN(N242:BN242:BN242)</f>
        <v>0</v>
      </c>
      <c r="BP242" s="2">
        <f t="shared" si="299"/>
        <v>0</v>
      </c>
      <c r="BQ242" s="22"/>
    </row>
    <row r="243" spans="1:69" ht="20.100000000000001" customHeight="1" x14ac:dyDescent="0.2">
      <c r="A243" s="17">
        <f t="shared" si="281"/>
        <v>241</v>
      </c>
      <c r="B243" s="24">
        <v>66984</v>
      </c>
      <c r="C243" s="18" t="s">
        <v>88</v>
      </c>
      <c r="D243" s="19" t="s">
        <v>343</v>
      </c>
      <c r="E243" s="18" t="s">
        <v>306</v>
      </c>
      <c r="F243" s="9">
        <v>0</v>
      </c>
      <c r="G243" s="25" t="s">
        <v>88</v>
      </c>
      <c r="H243" s="12">
        <v>0</v>
      </c>
      <c r="I243" s="24">
        <v>0</v>
      </c>
      <c r="J243" s="2">
        <v>0</v>
      </c>
      <c r="K243" s="21" t="s">
        <v>307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1">
        <f t="shared" si="295"/>
        <v>0</v>
      </c>
      <c r="BD243" s="1">
        <f t="shared" si="296"/>
        <v>0</v>
      </c>
      <c r="BE243" s="1">
        <f t="shared" si="297"/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f>MIN(N243:BN243:BN243)</f>
        <v>0</v>
      </c>
      <c r="BP243" s="2">
        <f t="shared" si="299"/>
        <v>0</v>
      </c>
      <c r="BQ243" s="22"/>
    </row>
    <row r="244" spans="1:69" ht="20.100000000000001" customHeight="1" x14ac:dyDescent="0.2">
      <c r="A244" s="17">
        <f t="shared" si="281"/>
        <v>242</v>
      </c>
      <c r="B244" s="24">
        <v>93452</v>
      </c>
      <c r="C244" s="18" t="s">
        <v>88</v>
      </c>
      <c r="D244" s="19" t="s">
        <v>344</v>
      </c>
      <c r="E244" s="18" t="s">
        <v>306</v>
      </c>
      <c r="F244" s="9">
        <v>0</v>
      </c>
      <c r="G244" s="25" t="s">
        <v>88</v>
      </c>
      <c r="H244" s="12">
        <v>0</v>
      </c>
      <c r="I244" s="24">
        <v>0</v>
      </c>
      <c r="J244" s="2">
        <v>0</v>
      </c>
      <c r="K244" s="21" t="s">
        <v>307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1">
        <f t="shared" si="295"/>
        <v>0</v>
      </c>
      <c r="BD244" s="1">
        <f t="shared" si="296"/>
        <v>0</v>
      </c>
      <c r="BE244" s="1">
        <f t="shared" si="297"/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f>MIN(N244:BN244:BN244)</f>
        <v>0</v>
      </c>
      <c r="BP244" s="2">
        <f t="shared" si="299"/>
        <v>0</v>
      </c>
      <c r="BQ244" s="22"/>
    </row>
    <row r="245" spans="1:69" ht="20.100000000000001" customHeight="1" x14ac:dyDescent="0.2">
      <c r="A245" s="17">
        <f t="shared" si="281"/>
        <v>243</v>
      </c>
      <c r="B245" s="24">
        <v>95810</v>
      </c>
      <c r="C245" s="18" t="s">
        <v>88</v>
      </c>
      <c r="D245" s="19" t="s">
        <v>345</v>
      </c>
      <c r="E245" s="18" t="s">
        <v>306</v>
      </c>
      <c r="F245" s="9">
        <v>0</v>
      </c>
      <c r="G245" s="25" t="s">
        <v>88</v>
      </c>
      <c r="H245" s="12">
        <v>0</v>
      </c>
      <c r="I245" s="24">
        <v>0</v>
      </c>
      <c r="J245" s="2">
        <v>0</v>
      </c>
      <c r="K245" s="21" t="s">
        <v>307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1">
        <f t="shared" si="295"/>
        <v>0</v>
      </c>
      <c r="BD245" s="1">
        <f t="shared" si="296"/>
        <v>0</v>
      </c>
      <c r="BE245" s="1">
        <f t="shared" si="297"/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f>MIN(N245:BN245:BN245)</f>
        <v>0</v>
      </c>
      <c r="BP245" s="2">
        <f t="shared" si="299"/>
        <v>0</v>
      </c>
      <c r="BQ245" s="22"/>
    </row>
    <row r="246" spans="1:69" ht="20.100000000000001" customHeight="1" x14ac:dyDescent="0.2">
      <c r="A246" s="17">
        <f t="shared" si="281"/>
        <v>244</v>
      </c>
      <c r="B246" s="24">
        <v>64640</v>
      </c>
      <c r="C246" s="18" t="s">
        <v>64</v>
      </c>
      <c r="D246" s="26" t="s">
        <v>346</v>
      </c>
      <c r="E246" s="18" t="s">
        <v>347</v>
      </c>
      <c r="F246" s="8">
        <f>2022+H246</f>
        <v>20794.650000000001</v>
      </c>
      <c r="G246" s="24">
        <v>360</v>
      </c>
      <c r="H246" s="11">
        <f>6257.55*3</f>
        <v>18772.650000000001</v>
      </c>
      <c r="I246" s="24">
        <v>0</v>
      </c>
      <c r="J246" s="2">
        <f t="shared" ref="J246:J289" si="301">L246*1.3</f>
        <v>1086.2655440000001</v>
      </c>
      <c r="K246" s="21" t="s">
        <v>307</v>
      </c>
      <c r="L246" s="2">
        <v>835.58888000000002</v>
      </c>
      <c r="M246" s="2">
        <v>45.058500000000002</v>
      </c>
      <c r="N246" s="1">
        <f>1178.3+6257.55</f>
        <v>7435.85</v>
      </c>
      <c r="O246" s="1">
        <f t="shared" ref="O246:O264" si="302">L246</f>
        <v>835.58888000000002</v>
      </c>
      <c r="P246" s="2">
        <f t="shared" ref="P246:P264" si="303">1.25*L246</f>
        <v>1044.4861000000001</v>
      </c>
      <c r="Q246" s="1">
        <v>0</v>
      </c>
      <c r="R246" s="1">
        <v>0</v>
      </c>
      <c r="S246" s="2">
        <f t="shared" ref="S246:S264" si="304">L246</f>
        <v>835.58888000000002</v>
      </c>
      <c r="T246" s="2">
        <f>1726+16232</f>
        <v>17958</v>
      </c>
      <c r="V246" s="1">
        <f>340*5.9*1.063+6257.55*1.05</f>
        <v>8702.8055000000004</v>
      </c>
      <c r="W246" s="2">
        <f t="shared" ref="W246:W264" si="305">L246</f>
        <v>835.58888000000002</v>
      </c>
      <c r="X246" s="1">
        <f>L246</f>
        <v>835.58888000000002</v>
      </c>
      <c r="Y246" s="1">
        <f t="shared" ref="Y246:Y264" si="306">L246</f>
        <v>835.58888000000002</v>
      </c>
      <c r="Z246" s="1">
        <f>1093+H246*0.373</f>
        <v>8095.1984500000008</v>
      </c>
      <c r="AA246" s="1">
        <f t="shared" ref="AA246:AA264" si="307">L246*0.95</f>
        <v>793.80943600000001</v>
      </c>
      <c r="AB246" s="1">
        <f t="shared" ref="AB246:AB264" si="308">L246*0.95</f>
        <v>793.80943600000001</v>
      </c>
      <c r="AC246" s="1">
        <v>0</v>
      </c>
      <c r="AD246" s="1">
        <v>0</v>
      </c>
      <c r="AE246" s="1">
        <f t="shared" ref="AE246:AE264" si="309">L246</f>
        <v>835.58888000000002</v>
      </c>
      <c r="AF246" s="1">
        <f t="shared" ref="AF246:AF264" si="310">L246</f>
        <v>835.58888000000002</v>
      </c>
      <c r="AG246" s="1">
        <v>0</v>
      </c>
      <c r="AH246" s="1">
        <f t="shared" ref="AH246:AH257" si="311">F246*0.7+H246*0.7</f>
        <v>27697.11</v>
      </c>
      <c r="AI246" s="1">
        <f t="shared" ref="AI246:AI264" si="312">L246*1.1</f>
        <v>919.14776800000004</v>
      </c>
      <c r="AJ246" s="2">
        <f t="shared" ref="AJ246:AJ264" si="313">L246</f>
        <v>835.58888000000002</v>
      </c>
      <c r="AK246" s="1">
        <f t="shared" ref="AK246:AK264" si="314">L246*1.36</f>
        <v>1136.4008768000001</v>
      </c>
      <c r="AL246" s="1">
        <f t="shared" ref="AL246:AL264" si="315">L246</f>
        <v>835.58888000000002</v>
      </c>
      <c r="AM246" s="1">
        <f t="shared" ref="AM246:AM264" si="316">L246</f>
        <v>835.58888000000002</v>
      </c>
      <c r="AN246" s="1">
        <f t="shared" ref="AN246:AN264" si="317">L246</f>
        <v>835.58888000000002</v>
      </c>
      <c r="AO246" s="1">
        <f t="shared" ref="AO246:AO264" si="318">L246</f>
        <v>835.58888000000002</v>
      </c>
      <c r="AP246" s="1">
        <f t="shared" ref="AP246:AP264" si="319">L246*0.8</f>
        <v>668.47110400000008</v>
      </c>
      <c r="AQ246" s="1">
        <f t="shared" ref="AQ246:AQ264" si="320">L246</f>
        <v>835.58888000000002</v>
      </c>
      <c r="AR246" s="1">
        <f t="shared" ref="AR246:AR257" si="321">F246*0.5+H246*0.5</f>
        <v>19783.650000000001</v>
      </c>
      <c r="AS246" s="1">
        <f t="shared" ref="AS246:AS264" si="322">M246*2.5</f>
        <v>112.64625000000001</v>
      </c>
      <c r="AT246" s="1">
        <f t="shared" ref="AT246:AT264" si="323">L246</f>
        <v>835.58888000000002</v>
      </c>
      <c r="AU246" s="1">
        <v>882.17818249050015</v>
      </c>
      <c r="AV246" s="1">
        <f t="shared" ref="AV246:AV264" si="324">M246*1.1</f>
        <v>49.564350000000005</v>
      </c>
      <c r="AW246" s="1">
        <f t="shared" ref="AW246:AW264" si="325">L246</f>
        <v>835.58888000000002</v>
      </c>
      <c r="AX246" s="1">
        <f t="shared" ref="AX246:AX264" si="326">L246*0.95</f>
        <v>793.80943600000001</v>
      </c>
      <c r="AY246" s="1">
        <f t="shared" ref="AY246:AY264" si="327">L246*0.88</f>
        <v>735.31821439999999</v>
      </c>
      <c r="AZ246" s="1">
        <v>0</v>
      </c>
      <c r="BA246" s="1">
        <v>0</v>
      </c>
      <c r="BB246" s="1">
        <v>0</v>
      </c>
      <c r="BC246" s="1">
        <f t="shared" si="295"/>
        <v>835.58888000000002</v>
      </c>
      <c r="BD246" s="1">
        <f t="shared" si="296"/>
        <v>919.14776800000004</v>
      </c>
      <c r="BE246" s="1">
        <f t="shared" si="297"/>
        <v>752.02999199999999</v>
      </c>
      <c r="BF246" s="1">
        <v>0</v>
      </c>
      <c r="BG246" s="1">
        <v>0</v>
      </c>
      <c r="BH246" s="1">
        <v>0</v>
      </c>
      <c r="BI246" s="1">
        <f t="shared" ref="BI246:BI264" si="328">L246*1.2</f>
        <v>1002.706656</v>
      </c>
      <c r="BJ246" s="1">
        <f t="shared" ref="BJ246:BJ264" si="329">L246</f>
        <v>835.58888000000002</v>
      </c>
      <c r="BK246" s="2">
        <f t="shared" ref="BK246:BK264" si="330">L246*0.95</f>
        <v>793.80943600000001</v>
      </c>
      <c r="BL246" s="1">
        <f t="shared" ref="BL246:BL264" si="331">L246</f>
        <v>835.58888000000002</v>
      </c>
      <c r="BM246" s="1">
        <f>957+6257.55*1.02</f>
        <v>7339.701</v>
      </c>
      <c r="BN246" s="1">
        <f t="shared" ref="BN246:BN264" si="332">L246</f>
        <v>835.58888000000002</v>
      </c>
      <c r="BO246" s="2">
        <f t="shared" ref="BO246:BO289" si="333">MIN(N246:BN246)</f>
        <v>0</v>
      </c>
      <c r="BP246" s="2">
        <f t="shared" si="299"/>
        <v>27697.11</v>
      </c>
      <c r="BQ246" s="22">
        <f>BP246/F246</f>
        <v>1.3319344158233006</v>
      </c>
    </row>
    <row r="247" spans="1:69" ht="20.100000000000001" customHeight="1" x14ac:dyDescent="0.2">
      <c r="A247" s="17">
        <f t="shared" si="281"/>
        <v>245</v>
      </c>
      <c r="B247" s="24">
        <v>63047</v>
      </c>
      <c r="C247" s="18" t="s">
        <v>64</v>
      </c>
      <c r="D247" s="26" t="s">
        <v>348</v>
      </c>
      <c r="E247" s="18" t="s">
        <v>347</v>
      </c>
      <c r="F247" s="8">
        <f>8453+H247</f>
        <v>12730.79</v>
      </c>
      <c r="G247" s="24">
        <v>360</v>
      </c>
      <c r="H247" s="11">
        <f>1425.93*3</f>
        <v>4277.79</v>
      </c>
      <c r="I247" s="24">
        <v>0</v>
      </c>
      <c r="J247" s="2">
        <f t="shared" si="301"/>
        <v>8274.7459600000002</v>
      </c>
      <c r="K247" s="21" t="s">
        <v>307</v>
      </c>
      <c r="L247" s="2">
        <v>6365.1891999999998</v>
      </c>
      <c r="M247" s="2">
        <v>70.091000000000008</v>
      </c>
      <c r="N247" s="1">
        <f>3907+1425.93</f>
        <v>5332.93</v>
      </c>
      <c r="O247" s="1">
        <f t="shared" si="302"/>
        <v>6365.1891999999998</v>
      </c>
      <c r="P247" s="2">
        <f t="shared" si="303"/>
        <v>7956.4865</v>
      </c>
      <c r="Q247" s="1">
        <v>0</v>
      </c>
      <c r="R247" s="1">
        <v>0</v>
      </c>
      <c r="S247" s="2">
        <f t="shared" si="304"/>
        <v>6365.1891999999998</v>
      </c>
      <c r="T247" s="1">
        <f>3436+H247</f>
        <v>7713.79</v>
      </c>
      <c r="U247" s="1"/>
      <c r="V247" s="1">
        <f>1015*5.9*1.063+1425.93*1.05</f>
        <v>7863.0020000000004</v>
      </c>
      <c r="W247" s="2">
        <f t="shared" si="305"/>
        <v>6365.1891999999998</v>
      </c>
      <c r="X247" s="1">
        <f t="shared" ref="X247:X264" si="334">L247</f>
        <v>6365.1891999999998</v>
      </c>
      <c r="Y247" s="1">
        <f t="shared" si="306"/>
        <v>6365.1891999999998</v>
      </c>
      <c r="Z247" s="1">
        <f>3462+H247*0.373</f>
        <v>5057.6156700000001</v>
      </c>
      <c r="AA247" s="1">
        <f t="shared" si="307"/>
        <v>6046.9297399999996</v>
      </c>
      <c r="AB247" s="1">
        <f t="shared" si="308"/>
        <v>6046.9297399999996</v>
      </c>
      <c r="AC247" s="1">
        <v>0</v>
      </c>
      <c r="AD247" s="1">
        <v>0</v>
      </c>
      <c r="AE247" s="1">
        <f t="shared" si="309"/>
        <v>6365.1891999999998</v>
      </c>
      <c r="AF247" s="1">
        <f t="shared" si="310"/>
        <v>6365.1891999999998</v>
      </c>
      <c r="AG247" s="1">
        <v>0</v>
      </c>
      <c r="AH247" s="1">
        <f t="shared" si="311"/>
        <v>11906.005999999999</v>
      </c>
      <c r="AI247" s="1">
        <f t="shared" si="312"/>
        <v>7001.7081200000002</v>
      </c>
      <c r="AJ247" s="2">
        <f t="shared" si="313"/>
        <v>6365.1891999999998</v>
      </c>
      <c r="AK247" s="1">
        <f t="shared" si="314"/>
        <v>8656.6573120000012</v>
      </c>
      <c r="AL247" s="1">
        <f t="shared" si="315"/>
        <v>6365.1891999999998</v>
      </c>
      <c r="AM247" s="1">
        <f t="shared" si="316"/>
        <v>6365.1891999999998</v>
      </c>
      <c r="AN247" s="1">
        <f t="shared" si="317"/>
        <v>6365.1891999999998</v>
      </c>
      <c r="AO247" s="1">
        <f t="shared" si="318"/>
        <v>6365.1891999999998</v>
      </c>
      <c r="AP247" s="1">
        <f t="shared" si="319"/>
        <v>5092.1513599999998</v>
      </c>
      <c r="AQ247" s="1">
        <f t="shared" si="320"/>
        <v>6365.1891999999998</v>
      </c>
      <c r="AR247" s="1">
        <f t="shared" si="321"/>
        <v>8504.2900000000009</v>
      </c>
      <c r="AS247" s="1">
        <f t="shared" si="322"/>
        <v>175.22750000000002</v>
      </c>
      <c r="AT247" s="1">
        <f t="shared" si="323"/>
        <v>6365.1891999999998</v>
      </c>
      <c r="AU247" s="1">
        <v>6720.0882803325003</v>
      </c>
      <c r="AV247" s="1">
        <f t="shared" si="324"/>
        <v>77.100100000000012</v>
      </c>
      <c r="AW247" s="1">
        <f t="shared" si="325"/>
        <v>6365.1891999999998</v>
      </c>
      <c r="AX247" s="1">
        <f t="shared" si="326"/>
        <v>6046.9297399999996</v>
      </c>
      <c r="AY247" s="1">
        <f t="shared" si="327"/>
        <v>5601.3664959999996</v>
      </c>
      <c r="AZ247" s="1">
        <v>0</v>
      </c>
      <c r="BA247" s="1">
        <v>0</v>
      </c>
      <c r="BB247" s="1">
        <v>0</v>
      </c>
      <c r="BC247" s="1">
        <f t="shared" si="295"/>
        <v>6365.1891999999998</v>
      </c>
      <c r="BD247" s="1">
        <f t="shared" si="296"/>
        <v>7001.7081200000002</v>
      </c>
      <c r="BE247" s="1">
        <f t="shared" si="297"/>
        <v>5728.6702800000003</v>
      </c>
      <c r="BF247" s="1">
        <v>0</v>
      </c>
      <c r="BG247" s="1">
        <v>0</v>
      </c>
      <c r="BH247" s="1">
        <v>0</v>
      </c>
      <c r="BI247" s="1">
        <f t="shared" si="328"/>
        <v>7638.2270399999998</v>
      </c>
      <c r="BJ247" s="1">
        <f t="shared" si="329"/>
        <v>6365.1891999999998</v>
      </c>
      <c r="BK247" s="2">
        <f t="shared" si="330"/>
        <v>6046.9297399999996</v>
      </c>
      <c r="BL247" s="1">
        <f t="shared" si="331"/>
        <v>6365.1891999999998</v>
      </c>
      <c r="BM247" s="1">
        <f>5960+1425.93*1.02</f>
        <v>7414.4485999999997</v>
      </c>
      <c r="BN247" s="1">
        <f t="shared" si="332"/>
        <v>6365.1891999999998</v>
      </c>
      <c r="BO247" s="2">
        <f t="shared" si="333"/>
        <v>0</v>
      </c>
      <c r="BP247" s="2">
        <f t="shared" si="299"/>
        <v>11906.005999999999</v>
      </c>
      <c r="BQ247" s="22">
        <f t="shared" ref="BQ247" si="335">BP247/F247</f>
        <v>0.93521344708380227</v>
      </c>
    </row>
    <row r="248" spans="1:69" ht="20.100000000000001" customHeight="1" x14ac:dyDescent="0.2">
      <c r="A248" s="17">
        <f t="shared" si="281"/>
        <v>246</v>
      </c>
      <c r="B248" s="24">
        <v>22551</v>
      </c>
      <c r="C248" s="18" t="s">
        <v>64</v>
      </c>
      <c r="D248" s="26" t="s">
        <v>349</v>
      </c>
      <c r="E248" s="18" t="s">
        <v>347</v>
      </c>
      <c r="F248" s="8">
        <f>8453+H248</f>
        <v>22555.499999999993</v>
      </c>
      <c r="G248" s="24">
        <v>360</v>
      </c>
      <c r="H248" s="11">
        <f>4700.83333333333*3</f>
        <v>14102.499999999991</v>
      </c>
      <c r="I248" s="24">
        <v>0</v>
      </c>
      <c r="J248" s="2">
        <f t="shared" si="301"/>
        <v>16265.335008</v>
      </c>
      <c r="K248" s="21" t="s">
        <v>307</v>
      </c>
      <c r="L248" s="1">
        <v>12511.79616</v>
      </c>
      <c r="M248" s="1">
        <v>100.13000000000001</v>
      </c>
      <c r="N248" s="1">
        <f>4106.65+4700.83333333333</f>
        <v>8807.4833333333299</v>
      </c>
      <c r="O248" s="1">
        <f t="shared" si="302"/>
        <v>12511.79616</v>
      </c>
      <c r="P248" s="2">
        <f t="shared" si="303"/>
        <v>15639.745199999999</v>
      </c>
      <c r="Q248" s="1">
        <v>0</v>
      </c>
      <c r="R248" s="1">
        <v>0</v>
      </c>
      <c r="S248" s="2">
        <f t="shared" si="304"/>
        <v>12511.79616</v>
      </c>
      <c r="T248" s="1">
        <f>6305+H248</f>
        <v>20407.499999999993</v>
      </c>
      <c r="U248" s="1"/>
      <c r="V248" s="1">
        <f>520*5.9*1.063+4700.83333333333*1.05</f>
        <v>8197.158999999996</v>
      </c>
      <c r="W248" s="2">
        <f t="shared" si="305"/>
        <v>12511.79616</v>
      </c>
      <c r="X248" s="1">
        <f t="shared" si="334"/>
        <v>12511.79616</v>
      </c>
      <c r="Y248" s="1">
        <f t="shared" si="306"/>
        <v>12511.79616</v>
      </c>
      <c r="Z248" s="1">
        <f>F248*0.392+H248*0.373</f>
        <v>14101.988499999994</v>
      </c>
      <c r="AA248" s="1">
        <f t="shared" si="307"/>
        <v>11886.206351999999</v>
      </c>
      <c r="AB248" s="1">
        <f t="shared" si="308"/>
        <v>11886.206351999999</v>
      </c>
      <c r="AC248" s="1">
        <v>0</v>
      </c>
      <c r="AD248" s="1">
        <v>0</v>
      </c>
      <c r="AE248" s="1">
        <f t="shared" si="309"/>
        <v>12511.79616</v>
      </c>
      <c r="AF248" s="1">
        <f t="shared" si="310"/>
        <v>12511.79616</v>
      </c>
      <c r="AG248" s="1">
        <v>0</v>
      </c>
      <c r="AH248" s="1">
        <f t="shared" si="311"/>
        <v>25660.599999999984</v>
      </c>
      <c r="AI248" s="1">
        <f t="shared" si="312"/>
        <v>13762.975776000001</v>
      </c>
      <c r="AJ248" s="2">
        <f t="shared" si="313"/>
        <v>12511.79616</v>
      </c>
      <c r="AK248" s="1">
        <f t="shared" si="314"/>
        <v>17016.0427776</v>
      </c>
      <c r="AL248" s="1">
        <f t="shared" si="315"/>
        <v>12511.79616</v>
      </c>
      <c r="AM248" s="1">
        <f t="shared" si="316"/>
        <v>12511.79616</v>
      </c>
      <c r="AN248" s="1">
        <f t="shared" si="317"/>
        <v>12511.79616</v>
      </c>
      <c r="AO248" s="1">
        <f t="shared" si="318"/>
        <v>12511.79616</v>
      </c>
      <c r="AP248" s="1">
        <f t="shared" si="319"/>
        <v>10009.436928000001</v>
      </c>
      <c r="AQ248" s="1">
        <f t="shared" si="320"/>
        <v>12511.79616</v>
      </c>
      <c r="AR248" s="1">
        <f t="shared" si="321"/>
        <v>18328.999999999993</v>
      </c>
      <c r="AS248" s="1">
        <f t="shared" si="322"/>
        <v>250.32500000000002</v>
      </c>
      <c r="AT248" s="1">
        <f t="shared" si="323"/>
        <v>12511.79616</v>
      </c>
      <c r="AU248" s="1">
        <v>13209.406994646002</v>
      </c>
      <c r="AV248" s="1">
        <f t="shared" si="324"/>
        <v>110.14300000000001</v>
      </c>
      <c r="AW248" s="1">
        <f t="shared" si="325"/>
        <v>12511.79616</v>
      </c>
      <c r="AX248" s="1">
        <f t="shared" si="326"/>
        <v>11886.206351999999</v>
      </c>
      <c r="AY248" s="1">
        <f t="shared" si="327"/>
        <v>11010.380620800001</v>
      </c>
      <c r="AZ248" s="1">
        <v>0</v>
      </c>
      <c r="BA248" s="1">
        <v>0</v>
      </c>
      <c r="BB248" s="1">
        <v>0</v>
      </c>
      <c r="BC248" s="1">
        <f t="shared" si="295"/>
        <v>12511.79616</v>
      </c>
      <c r="BD248" s="1">
        <f t="shared" si="296"/>
        <v>13762.975776000001</v>
      </c>
      <c r="BE248" s="1">
        <f t="shared" si="297"/>
        <v>11260.616544</v>
      </c>
      <c r="BF248" s="1">
        <v>0</v>
      </c>
      <c r="BG248" s="1">
        <v>0</v>
      </c>
      <c r="BH248" s="1">
        <v>0</v>
      </c>
      <c r="BI248" s="1">
        <f t="shared" si="328"/>
        <v>15014.155391999999</v>
      </c>
      <c r="BJ248" s="1">
        <f t="shared" si="329"/>
        <v>12511.79616</v>
      </c>
      <c r="BK248" s="1">
        <f t="shared" si="330"/>
        <v>11886.206351999999</v>
      </c>
      <c r="BL248" s="1">
        <f t="shared" si="331"/>
        <v>12511.79616</v>
      </c>
      <c r="BM248" s="1">
        <f>5960+N248*1.02</f>
        <v>14943.632999999996</v>
      </c>
      <c r="BN248" s="1">
        <f t="shared" si="332"/>
        <v>12511.79616</v>
      </c>
      <c r="BO248" s="1">
        <f t="shared" si="333"/>
        <v>0</v>
      </c>
      <c r="BP248" s="1">
        <f t="shared" si="299"/>
        <v>25660.599999999984</v>
      </c>
      <c r="BQ248" s="22">
        <f t="shared" ref="BQ248:BQ264" si="336">BP248/F248</f>
        <v>1.1376648710957413</v>
      </c>
    </row>
    <row r="249" spans="1:69" ht="20.100000000000001" customHeight="1" x14ac:dyDescent="0.2">
      <c r="A249" s="17">
        <f t="shared" si="281"/>
        <v>247</v>
      </c>
      <c r="B249" s="24">
        <v>28285</v>
      </c>
      <c r="C249" s="18" t="s">
        <v>64</v>
      </c>
      <c r="D249" s="26" t="s">
        <v>350</v>
      </c>
      <c r="E249" s="18" t="s">
        <v>347</v>
      </c>
      <c r="F249" s="8">
        <f>4064+H249</f>
        <v>12032.833999999999</v>
      </c>
      <c r="G249" s="24">
        <v>360</v>
      </c>
      <c r="H249" s="10">
        <f>2656.278*3</f>
        <v>7968.8339999999989</v>
      </c>
      <c r="I249" s="24">
        <v>0</v>
      </c>
      <c r="J249" s="2">
        <f t="shared" si="301"/>
        <v>3738.3923200000004</v>
      </c>
      <c r="K249" s="21" t="s">
        <v>307</v>
      </c>
      <c r="L249" s="1">
        <v>2875.6864</v>
      </c>
      <c r="M249" s="1">
        <v>75.097500000000011</v>
      </c>
      <c r="N249" s="1">
        <f>3341.55+2656.278</f>
        <v>5997.8279999999995</v>
      </c>
      <c r="O249" s="1">
        <f t="shared" si="302"/>
        <v>2875.6864</v>
      </c>
      <c r="P249" s="2">
        <f t="shared" si="303"/>
        <v>3594.6080000000002</v>
      </c>
      <c r="Q249" s="1">
        <v>0</v>
      </c>
      <c r="R249" s="1">
        <v>0</v>
      </c>
      <c r="S249" s="2">
        <f t="shared" si="304"/>
        <v>2875.6864</v>
      </c>
      <c r="T249" s="2">
        <f>3030+H249</f>
        <v>10998.833999999999</v>
      </c>
      <c r="V249" s="1">
        <f>520*5.9*1.063+2656.278*1.05</f>
        <v>6050.3758999999991</v>
      </c>
      <c r="W249" s="2">
        <f t="shared" si="305"/>
        <v>2875.6864</v>
      </c>
      <c r="X249" s="1">
        <f t="shared" si="334"/>
        <v>2875.6864</v>
      </c>
      <c r="Y249" s="1">
        <f t="shared" si="306"/>
        <v>2875.6864</v>
      </c>
      <c r="Z249" s="1">
        <f>1820+H249*0.373</f>
        <v>4792.3750819999996</v>
      </c>
      <c r="AA249" s="1">
        <f t="shared" si="307"/>
        <v>2731.9020799999998</v>
      </c>
      <c r="AB249" s="1">
        <f t="shared" si="308"/>
        <v>2731.9020799999998</v>
      </c>
      <c r="AC249" s="1">
        <v>0</v>
      </c>
      <c r="AD249" s="1">
        <v>0</v>
      </c>
      <c r="AE249" s="1">
        <f t="shared" si="309"/>
        <v>2875.6864</v>
      </c>
      <c r="AF249" s="1">
        <f t="shared" si="310"/>
        <v>2875.6864</v>
      </c>
      <c r="AG249" s="1">
        <v>0</v>
      </c>
      <c r="AH249" s="1">
        <f t="shared" si="311"/>
        <v>14001.167599999997</v>
      </c>
      <c r="AI249" s="1">
        <f t="shared" si="312"/>
        <v>3163.2550400000005</v>
      </c>
      <c r="AJ249" s="2">
        <f t="shared" si="313"/>
        <v>2875.6864</v>
      </c>
      <c r="AK249" s="1">
        <f t="shared" si="314"/>
        <v>3910.9335040000005</v>
      </c>
      <c r="AL249" s="1">
        <f t="shared" si="315"/>
        <v>2875.6864</v>
      </c>
      <c r="AM249" s="1">
        <f t="shared" si="316"/>
        <v>2875.6864</v>
      </c>
      <c r="AN249" s="1">
        <f t="shared" si="317"/>
        <v>2875.6864</v>
      </c>
      <c r="AO249" s="1">
        <f t="shared" si="318"/>
        <v>2875.6864</v>
      </c>
      <c r="AP249" s="1">
        <f t="shared" si="319"/>
        <v>2300.5491200000001</v>
      </c>
      <c r="AQ249" s="1">
        <f t="shared" si="320"/>
        <v>2875.6864</v>
      </c>
      <c r="AR249" s="1">
        <f t="shared" si="321"/>
        <v>10000.833999999999</v>
      </c>
      <c r="AS249" s="1">
        <f t="shared" si="322"/>
        <v>187.74375000000003</v>
      </c>
      <c r="AT249" s="1">
        <f t="shared" si="323"/>
        <v>2875.6864</v>
      </c>
      <c r="AU249" s="1">
        <v>3036.0238898400003</v>
      </c>
      <c r="AV249" s="1">
        <f t="shared" si="324"/>
        <v>82.607250000000022</v>
      </c>
      <c r="AW249" s="1">
        <f t="shared" si="325"/>
        <v>2875.6864</v>
      </c>
      <c r="AX249" s="1">
        <f t="shared" si="326"/>
        <v>2731.9020799999998</v>
      </c>
      <c r="AY249" s="1">
        <f t="shared" si="327"/>
        <v>2530.6040320000002</v>
      </c>
      <c r="AZ249" s="1">
        <v>0</v>
      </c>
      <c r="BA249" s="1">
        <v>0</v>
      </c>
      <c r="BB249" s="1">
        <v>0</v>
      </c>
      <c r="BC249" s="1">
        <f t="shared" si="295"/>
        <v>2875.6864</v>
      </c>
      <c r="BD249" s="1">
        <f t="shared" si="296"/>
        <v>3163.2550400000005</v>
      </c>
      <c r="BE249" s="1">
        <f t="shared" si="297"/>
        <v>2588.1177600000001</v>
      </c>
      <c r="BF249" s="1">
        <v>0</v>
      </c>
      <c r="BG249" s="1">
        <v>0</v>
      </c>
      <c r="BH249" s="1">
        <v>0</v>
      </c>
      <c r="BI249" s="1">
        <f t="shared" si="328"/>
        <v>3450.82368</v>
      </c>
      <c r="BJ249" s="1">
        <f t="shared" si="329"/>
        <v>2875.6864</v>
      </c>
      <c r="BK249" s="1">
        <f t="shared" si="330"/>
        <v>2731.9020799999998</v>
      </c>
      <c r="BL249" s="1">
        <f t="shared" si="331"/>
        <v>2875.6864</v>
      </c>
      <c r="BM249" s="1">
        <f>2978+N249*1.02</f>
        <v>9095.7845600000001</v>
      </c>
      <c r="BN249" s="1">
        <f t="shared" si="332"/>
        <v>2875.6864</v>
      </c>
      <c r="BO249" s="1">
        <f t="shared" si="333"/>
        <v>0</v>
      </c>
      <c r="BP249" s="1">
        <f t="shared" si="299"/>
        <v>14001.167599999997</v>
      </c>
      <c r="BQ249" s="22">
        <f t="shared" si="336"/>
        <v>1.163580217262201</v>
      </c>
    </row>
    <row r="250" spans="1:69" ht="20.100000000000001" customHeight="1" x14ac:dyDescent="0.2">
      <c r="A250" s="17">
        <f t="shared" si="281"/>
        <v>248</v>
      </c>
      <c r="B250" s="24">
        <v>63030</v>
      </c>
      <c r="C250" s="18" t="s">
        <v>64</v>
      </c>
      <c r="D250" s="26" t="s">
        <v>351</v>
      </c>
      <c r="E250" s="18" t="s">
        <v>347</v>
      </c>
      <c r="F250" s="8">
        <f>8453+H250</f>
        <v>13680.32</v>
      </c>
      <c r="G250" s="24">
        <v>360</v>
      </c>
      <c r="H250" s="10">
        <f>1742.44*3</f>
        <v>5227.32</v>
      </c>
      <c r="I250" s="24">
        <v>0</v>
      </c>
      <c r="J250" s="2">
        <f t="shared" si="301"/>
        <v>8274.7459600000002</v>
      </c>
      <c r="K250" s="21" t="s">
        <v>307</v>
      </c>
      <c r="L250" s="1">
        <v>6365.1891999999998</v>
      </c>
      <c r="M250" s="1">
        <v>70.091000000000008</v>
      </c>
      <c r="N250" s="1">
        <f>3907+1742.44</f>
        <v>5649.4400000000005</v>
      </c>
      <c r="O250" s="1">
        <f t="shared" si="302"/>
        <v>6365.1891999999998</v>
      </c>
      <c r="P250" s="2">
        <f t="shared" si="303"/>
        <v>7956.4865</v>
      </c>
      <c r="Q250" s="1">
        <v>0</v>
      </c>
      <c r="R250" s="1">
        <v>0</v>
      </c>
      <c r="S250" s="2">
        <f t="shared" si="304"/>
        <v>6365.1891999999998</v>
      </c>
      <c r="T250" s="1">
        <f>3241+H250</f>
        <v>8468.32</v>
      </c>
      <c r="U250" s="1"/>
      <c r="V250" s="1">
        <f>1015*5.9*1.063+1742.44*1.05</f>
        <v>8195.3374999999996</v>
      </c>
      <c r="W250" s="2">
        <f t="shared" si="305"/>
        <v>6365.1891999999998</v>
      </c>
      <c r="X250" s="1">
        <f t="shared" si="334"/>
        <v>6365.1891999999998</v>
      </c>
      <c r="Y250" s="1">
        <f t="shared" si="306"/>
        <v>6365.1891999999998</v>
      </c>
      <c r="Z250" s="1">
        <f>3462+H250*0.373</f>
        <v>5411.79036</v>
      </c>
      <c r="AA250" s="1">
        <f t="shared" si="307"/>
        <v>6046.9297399999996</v>
      </c>
      <c r="AB250" s="1">
        <f t="shared" si="308"/>
        <v>6046.9297399999996</v>
      </c>
      <c r="AC250" s="1">
        <v>0</v>
      </c>
      <c r="AD250" s="1">
        <v>0</v>
      </c>
      <c r="AE250" s="1">
        <f t="shared" si="309"/>
        <v>6365.1891999999998</v>
      </c>
      <c r="AF250" s="1">
        <f t="shared" si="310"/>
        <v>6365.1891999999998</v>
      </c>
      <c r="AG250" s="1">
        <v>0</v>
      </c>
      <c r="AH250" s="1">
        <f t="shared" si="311"/>
        <v>13235.347999999998</v>
      </c>
      <c r="AI250" s="1">
        <f t="shared" si="312"/>
        <v>7001.7081200000002</v>
      </c>
      <c r="AJ250" s="2">
        <f t="shared" si="313"/>
        <v>6365.1891999999998</v>
      </c>
      <c r="AK250" s="1">
        <f t="shared" si="314"/>
        <v>8656.6573120000012</v>
      </c>
      <c r="AL250" s="1">
        <f t="shared" si="315"/>
        <v>6365.1891999999998</v>
      </c>
      <c r="AM250" s="1">
        <f t="shared" si="316"/>
        <v>6365.1891999999998</v>
      </c>
      <c r="AN250" s="1">
        <f t="shared" si="317"/>
        <v>6365.1891999999998</v>
      </c>
      <c r="AO250" s="1">
        <f t="shared" si="318"/>
        <v>6365.1891999999998</v>
      </c>
      <c r="AP250" s="1">
        <f t="shared" si="319"/>
        <v>5092.1513599999998</v>
      </c>
      <c r="AQ250" s="1">
        <f t="shared" si="320"/>
        <v>6365.1891999999998</v>
      </c>
      <c r="AR250" s="1">
        <f t="shared" si="321"/>
        <v>9453.82</v>
      </c>
      <c r="AS250" s="1">
        <f t="shared" si="322"/>
        <v>175.22750000000002</v>
      </c>
      <c r="AT250" s="1">
        <f t="shared" si="323"/>
        <v>6365.1891999999998</v>
      </c>
      <c r="AU250" s="1">
        <v>6720.0882803325003</v>
      </c>
      <c r="AV250" s="1">
        <f t="shared" si="324"/>
        <v>77.100100000000012</v>
      </c>
      <c r="AW250" s="1">
        <f t="shared" si="325"/>
        <v>6365.1891999999998</v>
      </c>
      <c r="AX250" s="1">
        <f t="shared" si="326"/>
        <v>6046.9297399999996</v>
      </c>
      <c r="AY250" s="1">
        <f t="shared" si="327"/>
        <v>5601.3664959999996</v>
      </c>
      <c r="AZ250" s="1">
        <v>0</v>
      </c>
      <c r="BA250" s="1">
        <v>0</v>
      </c>
      <c r="BB250" s="1">
        <v>0</v>
      </c>
      <c r="BC250" s="1">
        <f t="shared" si="295"/>
        <v>6365.1891999999998</v>
      </c>
      <c r="BD250" s="1">
        <f t="shared" si="296"/>
        <v>7001.7081200000002</v>
      </c>
      <c r="BE250" s="1">
        <f t="shared" si="297"/>
        <v>5728.6702800000003</v>
      </c>
      <c r="BF250" s="1">
        <v>0</v>
      </c>
      <c r="BG250" s="1">
        <v>0</v>
      </c>
      <c r="BH250" s="1">
        <v>0</v>
      </c>
      <c r="BI250" s="1">
        <f t="shared" si="328"/>
        <v>7638.2270399999998</v>
      </c>
      <c r="BJ250" s="1">
        <f t="shared" si="329"/>
        <v>6365.1891999999998</v>
      </c>
      <c r="BK250" s="1">
        <f t="shared" si="330"/>
        <v>6046.9297399999996</v>
      </c>
      <c r="BL250" s="1">
        <f t="shared" si="331"/>
        <v>6365.1891999999998</v>
      </c>
      <c r="BM250" s="1">
        <f>5960+1742.44*1.02</f>
        <v>7737.2888000000003</v>
      </c>
      <c r="BN250" s="1">
        <f t="shared" si="332"/>
        <v>6365.1891999999998</v>
      </c>
      <c r="BO250" s="1">
        <f t="shared" si="333"/>
        <v>0</v>
      </c>
      <c r="BP250" s="1">
        <f t="shared" si="299"/>
        <v>13235.347999999998</v>
      </c>
      <c r="BQ250" s="22">
        <f t="shared" si="336"/>
        <v>0.96747356786975736</v>
      </c>
    </row>
    <row r="251" spans="1:69" ht="20.100000000000001" customHeight="1" x14ac:dyDescent="0.2">
      <c r="A251" s="17">
        <f t="shared" si="281"/>
        <v>249</v>
      </c>
      <c r="B251" s="24">
        <v>27447</v>
      </c>
      <c r="C251" s="18" t="s">
        <v>64</v>
      </c>
      <c r="D251" s="26" t="s">
        <v>352</v>
      </c>
      <c r="E251" s="18" t="s">
        <v>347</v>
      </c>
      <c r="F251" s="8">
        <f>32760+H251</f>
        <v>49726.685624999998</v>
      </c>
      <c r="G251" s="24">
        <v>360</v>
      </c>
      <c r="H251" s="11">
        <f>5655.561875*3</f>
        <v>16966.685625000002</v>
      </c>
      <c r="I251" s="24">
        <v>0</v>
      </c>
      <c r="J251" s="2">
        <f t="shared" si="301"/>
        <v>16265.335008</v>
      </c>
      <c r="K251" s="21" t="s">
        <v>307</v>
      </c>
      <c r="L251" s="1">
        <v>12511.79616</v>
      </c>
      <c r="M251" s="1">
        <v>90.117000000000004</v>
      </c>
      <c r="N251" s="1">
        <v>16355.8</v>
      </c>
      <c r="O251" s="1">
        <f t="shared" si="302"/>
        <v>12511.79616</v>
      </c>
      <c r="P251" s="2">
        <f t="shared" si="303"/>
        <v>15639.745199999999</v>
      </c>
      <c r="Q251" s="1">
        <v>0</v>
      </c>
      <c r="R251" s="1">
        <v>0</v>
      </c>
      <c r="S251" s="2">
        <f t="shared" si="304"/>
        <v>12511.79616</v>
      </c>
      <c r="T251" s="1">
        <f>6305+10822</f>
        <v>17127</v>
      </c>
      <c r="U251" s="1"/>
      <c r="V251" s="1">
        <f>520*5.9*1.063+5655.561875*1.05</f>
        <v>9199.6239687500001</v>
      </c>
      <c r="W251" s="2">
        <f t="shared" si="305"/>
        <v>12511.79616</v>
      </c>
      <c r="X251" s="1">
        <f t="shared" si="334"/>
        <v>12511.79616</v>
      </c>
      <c r="Y251" s="1">
        <f t="shared" si="306"/>
        <v>12511.79616</v>
      </c>
      <c r="Z251" s="1">
        <f>F251*0.392+H251*0.373</f>
        <v>25821.434503125001</v>
      </c>
      <c r="AA251" s="1">
        <f t="shared" si="307"/>
        <v>11886.206351999999</v>
      </c>
      <c r="AB251" s="1">
        <f t="shared" si="308"/>
        <v>11886.206351999999</v>
      </c>
      <c r="AC251" s="1">
        <v>0</v>
      </c>
      <c r="AD251" s="1">
        <v>0</v>
      </c>
      <c r="AE251" s="1">
        <f t="shared" si="309"/>
        <v>12511.79616</v>
      </c>
      <c r="AF251" s="1">
        <f t="shared" si="310"/>
        <v>12511.79616</v>
      </c>
      <c r="AG251" s="1">
        <v>0</v>
      </c>
      <c r="AH251" s="1">
        <f t="shared" si="311"/>
        <v>46685.359874999995</v>
      </c>
      <c r="AI251" s="1">
        <f t="shared" si="312"/>
        <v>13762.975776000001</v>
      </c>
      <c r="AJ251" s="2">
        <f t="shared" si="313"/>
        <v>12511.79616</v>
      </c>
      <c r="AK251" s="1">
        <f t="shared" si="314"/>
        <v>17016.0427776</v>
      </c>
      <c r="AL251" s="1">
        <f t="shared" si="315"/>
        <v>12511.79616</v>
      </c>
      <c r="AM251" s="1">
        <f t="shared" si="316"/>
        <v>12511.79616</v>
      </c>
      <c r="AN251" s="1">
        <f t="shared" si="317"/>
        <v>12511.79616</v>
      </c>
      <c r="AO251" s="1">
        <f t="shared" si="318"/>
        <v>12511.79616</v>
      </c>
      <c r="AP251" s="1">
        <f t="shared" si="319"/>
        <v>10009.436928000001</v>
      </c>
      <c r="AQ251" s="1">
        <f t="shared" si="320"/>
        <v>12511.79616</v>
      </c>
      <c r="AR251" s="1">
        <f t="shared" si="321"/>
        <v>33346.685624999998</v>
      </c>
      <c r="AS251" s="1">
        <f t="shared" si="322"/>
        <v>225.29250000000002</v>
      </c>
      <c r="AT251" s="1">
        <f t="shared" si="323"/>
        <v>12511.79616</v>
      </c>
      <c r="AU251" s="1">
        <v>13209.406994646002</v>
      </c>
      <c r="AV251" s="1">
        <f t="shared" si="324"/>
        <v>99.128700000000009</v>
      </c>
      <c r="AW251" s="1">
        <f t="shared" si="325"/>
        <v>12511.79616</v>
      </c>
      <c r="AX251" s="1">
        <f t="shared" si="326"/>
        <v>11886.206351999999</v>
      </c>
      <c r="AY251" s="1">
        <f t="shared" si="327"/>
        <v>11010.380620800001</v>
      </c>
      <c r="AZ251" s="1">
        <v>0</v>
      </c>
      <c r="BA251" s="1">
        <v>0</v>
      </c>
      <c r="BB251" s="1">
        <v>0</v>
      </c>
      <c r="BC251" s="1">
        <f t="shared" si="295"/>
        <v>12511.79616</v>
      </c>
      <c r="BD251" s="1">
        <f t="shared" si="296"/>
        <v>13762.975776000001</v>
      </c>
      <c r="BE251" s="1">
        <f t="shared" si="297"/>
        <v>11260.616544</v>
      </c>
      <c r="BF251" s="1">
        <v>0</v>
      </c>
      <c r="BG251" s="1">
        <v>0</v>
      </c>
      <c r="BH251" s="1">
        <v>0</v>
      </c>
      <c r="BI251" s="1">
        <f t="shared" si="328"/>
        <v>15014.155391999999</v>
      </c>
      <c r="BJ251" s="1">
        <f t="shared" si="329"/>
        <v>12511.79616</v>
      </c>
      <c r="BK251" s="1">
        <f t="shared" si="330"/>
        <v>11886.206351999999</v>
      </c>
      <c r="BL251" s="1">
        <f t="shared" si="331"/>
        <v>12511.79616</v>
      </c>
      <c r="BM251" s="1">
        <f>10830+5655.561875*1.02</f>
        <v>16598.673112500001</v>
      </c>
      <c r="BN251" s="1">
        <f t="shared" si="332"/>
        <v>12511.79616</v>
      </c>
      <c r="BO251" s="1">
        <f t="shared" si="333"/>
        <v>0</v>
      </c>
      <c r="BP251" s="1">
        <f t="shared" si="299"/>
        <v>46685.359874999995</v>
      </c>
      <c r="BQ251" s="22">
        <f t="shared" si="336"/>
        <v>0.9388391622772666</v>
      </c>
    </row>
    <row r="252" spans="1:69" ht="20.100000000000001" customHeight="1" x14ac:dyDescent="0.2">
      <c r="A252" s="17">
        <f t="shared" si="281"/>
        <v>250</v>
      </c>
      <c r="B252" s="24">
        <v>20680</v>
      </c>
      <c r="C252" s="18" t="s">
        <v>64</v>
      </c>
      <c r="D252" s="26" t="s">
        <v>353</v>
      </c>
      <c r="E252" s="18" t="s">
        <v>347</v>
      </c>
      <c r="F252" s="8">
        <f>4190+H252</f>
        <v>13405.975000000009</v>
      </c>
      <c r="G252" s="24">
        <v>360</v>
      </c>
      <c r="H252" s="11">
        <f>3071.99166666667*3</f>
        <v>9215.9750000000095</v>
      </c>
      <c r="I252" s="24">
        <v>0</v>
      </c>
      <c r="J252" s="2">
        <f t="shared" si="301"/>
        <v>3130.3092080000006</v>
      </c>
      <c r="K252" s="21" t="s">
        <v>307</v>
      </c>
      <c r="L252" s="2">
        <v>2407.9301600000003</v>
      </c>
      <c r="M252" s="2">
        <v>58.075400000000002</v>
      </c>
      <c r="N252" s="1">
        <f>3341.55+3071.99166666667</f>
        <v>6413.5416666666697</v>
      </c>
      <c r="O252" s="1">
        <f t="shared" si="302"/>
        <v>2407.9301600000003</v>
      </c>
      <c r="P252" s="2">
        <f t="shared" si="303"/>
        <v>3009.9127000000003</v>
      </c>
      <c r="Q252" s="1">
        <v>0</v>
      </c>
      <c r="R252" s="1">
        <v>0</v>
      </c>
      <c r="S252" s="2">
        <f t="shared" si="304"/>
        <v>2407.9301600000003</v>
      </c>
      <c r="T252" s="2">
        <f>3030+H252</f>
        <v>12245.975000000009</v>
      </c>
      <c r="V252" s="1">
        <f>520*5.9*1.063+3071.99166666667*1.05</f>
        <v>6486.8752500000028</v>
      </c>
      <c r="W252" s="2">
        <f t="shared" si="305"/>
        <v>2407.9301600000003</v>
      </c>
      <c r="X252" s="1">
        <f t="shared" si="334"/>
        <v>2407.9301600000003</v>
      </c>
      <c r="Y252" s="1">
        <f t="shared" si="306"/>
        <v>2407.9301600000003</v>
      </c>
      <c r="Z252" s="1">
        <f>1820+H252*0.373</f>
        <v>5257.5586750000039</v>
      </c>
      <c r="AA252" s="1">
        <f t="shared" si="307"/>
        <v>2287.5336520000001</v>
      </c>
      <c r="AB252" s="1">
        <f t="shared" si="308"/>
        <v>2287.5336520000001</v>
      </c>
      <c r="AC252" s="1">
        <v>0</v>
      </c>
      <c r="AD252" s="1">
        <v>0</v>
      </c>
      <c r="AE252" s="1">
        <f t="shared" si="309"/>
        <v>2407.9301600000003</v>
      </c>
      <c r="AF252" s="1">
        <f t="shared" si="310"/>
        <v>2407.9301600000003</v>
      </c>
      <c r="AG252" s="1">
        <v>0</v>
      </c>
      <c r="AH252" s="1">
        <f t="shared" si="311"/>
        <v>15835.365000000013</v>
      </c>
      <c r="AI252" s="1">
        <f t="shared" si="312"/>
        <v>2648.7231760000004</v>
      </c>
      <c r="AJ252" s="2">
        <f t="shared" si="313"/>
        <v>2407.9301600000003</v>
      </c>
      <c r="AK252" s="1">
        <f t="shared" si="314"/>
        <v>3274.7850176000006</v>
      </c>
      <c r="AL252" s="1">
        <f t="shared" si="315"/>
        <v>2407.9301600000003</v>
      </c>
      <c r="AM252" s="1">
        <f t="shared" si="316"/>
        <v>2407.9301600000003</v>
      </c>
      <c r="AN252" s="1">
        <f t="shared" si="317"/>
        <v>2407.9301600000003</v>
      </c>
      <c r="AO252" s="1">
        <f t="shared" si="318"/>
        <v>2407.9301600000003</v>
      </c>
      <c r="AP252" s="1">
        <f t="shared" si="319"/>
        <v>1926.3441280000004</v>
      </c>
      <c r="AQ252" s="1">
        <f t="shared" si="320"/>
        <v>2407.9301600000003</v>
      </c>
      <c r="AR252" s="1">
        <f t="shared" si="321"/>
        <v>11310.975000000009</v>
      </c>
      <c r="AS252" s="1">
        <f t="shared" si="322"/>
        <v>145.1885</v>
      </c>
      <c r="AT252" s="1">
        <f t="shared" si="323"/>
        <v>2407.9301600000003</v>
      </c>
      <c r="AU252" s="1">
        <v>2542.1873159835004</v>
      </c>
      <c r="AV252" s="1">
        <f t="shared" si="324"/>
        <v>63.882940000000005</v>
      </c>
      <c r="AW252" s="1">
        <f t="shared" si="325"/>
        <v>2407.9301600000003</v>
      </c>
      <c r="AX252" s="1">
        <f t="shared" si="326"/>
        <v>2287.5336520000001</v>
      </c>
      <c r="AY252" s="1">
        <f t="shared" si="327"/>
        <v>2118.9785408000002</v>
      </c>
      <c r="AZ252" s="1">
        <v>0</v>
      </c>
      <c r="BA252" s="1">
        <v>0</v>
      </c>
      <c r="BB252" s="1">
        <v>0</v>
      </c>
      <c r="BC252" s="1">
        <f t="shared" si="295"/>
        <v>2407.9301600000003</v>
      </c>
      <c r="BD252" s="1">
        <f t="shared" si="296"/>
        <v>2648.7231760000004</v>
      </c>
      <c r="BE252" s="1">
        <f t="shared" si="297"/>
        <v>2167.1371440000003</v>
      </c>
      <c r="BF252" s="1">
        <v>0</v>
      </c>
      <c r="BG252" s="1">
        <v>0</v>
      </c>
      <c r="BH252" s="1">
        <v>0</v>
      </c>
      <c r="BI252" s="1">
        <f t="shared" si="328"/>
        <v>2889.5161920000005</v>
      </c>
      <c r="BJ252" s="1">
        <f t="shared" si="329"/>
        <v>2407.9301600000003</v>
      </c>
      <c r="BK252" s="2">
        <f t="shared" si="330"/>
        <v>2287.5336520000001</v>
      </c>
      <c r="BL252" s="1">
        <f t="shared" si="331"/>
        <v>2407.9301600000003</v>
      </c>
      <c r="BM252" s="1">
        <f>2978+3071.99166666667*1.02</f>
        <v>6111.4315000000033</v>
      </c>
      <c r="BN252" s="1">
        <f t="shared" si="332"/>
        <v>2407.9301600000003</v>
      </c>
      <c r="BO252" s="2">
        <f t="shared" si="333"/>
        <v>0</v>
      </c>
      <c r="BP252" s="2">
        <f t="shared" ref="BP252:BP283" si="337">MAX(N252:BN252)</f>
        <v>15835.365000000013</v>
      </c>
      <c r="BQ252" s="22">
        <f t="shared" si="336"/>
        <v>1.1812169573641604</v>
      </c>
    </row>
    <row r="253" spans="1:69" ht="20.100000000000001" customHeight="1" x14ac:dyDescent="0.2">
      <c r="A253" s="17">
        <f t="shared" si="281"/>
        <v>251</v>
      </c>
      <c r="B253" s="24">
        <v>63685</v>
      </c>
      <c r="C253" s="18" t="s">
        <v>64</v>
      </c>
      <c r="D253" s="19" t="s">
        <v>354</v>
      </c>
      <c r="E253" s="18" t="s">
        <v>347</v>
      </c>
      <c r="F253" s="8">
        <f>36372+H253</f>
        <v>61066.070000000007</v>
      </c>
      <c r="G253" s="24">
        <v>360</v>
      </c>
      <c r="H253" s="11">
        <f>8231.35666666667*3</f>
        <v>24694.070000000011</v>
      </c>
      <c r="I253" s="24">
        <v>0</v>
      </c>
      <c r="J253" s="2">
        <f t="shared" si="301"/>
        <v>38890.322016000006</v>
      </c>
      <c r="K253" s="21" t="s">
        <v>307</v>
      </c>
      <c r="L253" s="1">
        <v>29915.632320000001</v>
      </c>
      <c r="M253" s="1">
        <v>55.071500000000007</v>
      </c>
      <c r="N253" s="1">
        <v>41476.5</v>
      </c>
      <c r="O253" s="1">
        <f t="shared" si="302"/>
        <v>29915.632320000001</v>
      </c>
      <c r="P253" s="2">
        <f t="shared" si="303"/>
        <v>37394.540399999998</v>
      </c>
      <c r="Q253" s="1">
        <v>0</v>
      </c>
      <c r="R253" s="1">
        <v>0</v>
      </c>
      <c r="S253" s="2">
        <f t="shared" si="304"/>
        <v>29915.632320000001</v>
      </c>
      <c r="T253" s="2">
        <f>2462+H253</f>
        <v>27156.070000000011</v>
      </c>
      <c r="V253" s="1">
        <f>455*5.9*1.063+8231.35666666667*1.05</f>
        <v>11496.548000000004</v>
      </c>
      <c r="W253" s="2">
        <f t="shared" si="305"/>
        <v>29915.632320000001</v>
      </c>
      <c r="X253" s="1">
        <f t="shared" si="334"/>
        <v>29915.632320000001</v>
      </c>
      <c r="Y253" s="1">
        <f t="shared" si="306"/>
        <v>29915.632320000001</v>
      </c>
      <c r="Z253" s="1">
        <f>1454+H253*0.373</f>
        <v>10664.888110000004</v>
      </c>
      <c r="AA253" s="1">
        <f t="shared" si="307"/>
        <v>28419.850704</v>
      </c>
      <c r="AB253" s="1">
        <f t="shared" si="308"/>
        <v>28419.850704</v>
      </c>
      <c r="AC253" s="1">
        <v>0</v>
      </c>
      <c r="AD253" s="1">
        <v>0</v>
      </c>
      <c r="AE253" s="1">
        <f t="shared" si="309"/>
        <v>29915.632320000001</v>
      </c>
      <c r="AF253" s="1">
        <f t="shared" si="310"/>
        <v>29915.632320000001</v>
      </c>
      <c r="AG253" s="1">
        <v>0</v>
      </c>
      <c r="AH253" s="1">
        <f t="shared" si="311"/>
        <v>60032.098000000013</v>
      </c>
      <c r="AI253" s="1">
        <f t="shared" si="312"/>
        <v>32907.195552000005</v>
      </c>
      <c r="AJ253" s="2">
        <f t="shared" si="313"/>
        <v>29915.632320000001</v>
      </c>
      <c r="AK253" s="1">
        <f t="shared" si="314"/>
        <v>40685.259955200003</v>
      </c>
      <c r="AL253" s="1">
        <f t="shared" si="315"/>
        <v>29915.632320000001</v>
      </c>
      <c r="AM253" s="1">
        <f t="shared" si="316"/>
        <v>29915.632320000001</v>
      </c>
      <c r="AN253" s="1">
        <f t="shared" si="317"/>
        <v>29915.632320000001</v>
      </c>
      <c r="AO253" s="1">
        <f t="shared" si="318"/>
        <v>29915.632320000001</v>
      </c>
      <c r="AP253" s="1">
        <f t="shared" si="319"/>
        <v>23932.505856000003</v>
      </c>
      <c r="AQ253" s="1">
        <f t="shared" si="320"/>
        <v>29915.632320000001</v>
      </c>
      <c r="AR253" s="1">
        <f t="shared" si="321"/>
        <v>42880.070000000007</v>
      </c>
      <c r="AS253" s="1">
        <f t="shared" si="322"/>
        <v>137.67875000000001</v>
      </c>
      <c r="AT253" s="1">
        <f t="shared" si="323"/>
        <v>29915.632320000001</v>
      </c>
      <c r="AU253" s="1">
        <v>31583.615794542005</v>
      </c>
      <c r="AV253" s="1">
        <f t="shared" si="324"/>
        <v>60.57865000000001</v>
      </c>
      <c r="AW253" s="1">
        <f t="shared" si="325"/>
        <v>29915.632320000001</v>
      </c>
      <c r="AX253" s="1">
        <f t="shared" si="326"/>
        <v>28419.850704</v>
      </c>
      <c r="AY253" s="1">
        <f t="shared" si="327"/>
        <v>26325.756441600002</v>
      </c>
      <c r="AZ253" s="1">
        <v>0</v>
      </c>
      <c r="BA253" s="1">
        <v>0</v>
      </c>
      <c r="BB253" s="1">
        <v>0</v>
      </c>
      <c r="BC253" s="1">
        <f t="shared" si="295"/>
        <v>29915.632320000001</v>
      </c>
      <c r="BD253" s="1">
        <f t="shared" si="296"/>
        <v>32907.195552000005</v>
      </c>
      <c r="BE253" s="1">
        <f t="shared" si="297"/>
        <v>26924.069088</v>
      </c>
      <c r="BF253" s="1">
        <v>0</v>
      </c>
      <c r="BG253" s="1">
        <v>0</v>
      </c>
      <c r="BH253" s="1">
        <v>0</v>
      </c>
      <c r="BI253" s="1">
        <f t="shared" si="328"/>
        <v>35898.758783999998</v>
      </c>
      <c r="BJ253" s="1">
        <f t="shared" si="329"/>
        <v>29915.632320000001</v>
      </c>
      <c r="BK253" s="1">
        <f t="shared" si="330"/>
        <v>28419.850704</v>
      </c>
      <c r="BL253" s="1">
        <f t="shared" si="331"/>
        <v>29915.632320000001</v>
      </c>
      <c r="BM253" s="1">
        <f>10968+8231.35666666667*1.02</f>
        <v>19363.983800000002</v>
      </c>
      <c r="BN253" s="1">
        <f t="shared" si="332"/>
        <v>29915.632320000001</v>
      </c>
      <c r="BO253" s="1">
        <f t="shared" si="333"/>
        <v>0</v>
      </c>
      <c r="BP253" s="1">
        <f t="shared" si="337"/>
        <v>60032.098000000013</v>
      </c>
      <c r="BQ253" s="22">
        <f t="shared" si="336"/>
        <v>0.98306797866638551</v>
      </c>
    </row>
    <row r="254" spans="1:69" ht="20.100000000000001" customHeight="1" x14ac:dyDescent="0.2">
      <c r="A254" s="17">
        <f t="shared" si="281"/>
        <v>252</v>
      </c>
      <c r="B254" s="24">
        <v>28297</v>
      </c>
      <c r="C254" s="18" t="s">
        <v>64</v>
      </c>
      <c r="D254" s="19" t="s">
        <v>355</v>
      </c>
      <c r="E254" s="18" t="s">
        <v>347</v>
      </c>
      <c r="F254" s="8">
        <f>6311+H254</f>
        <v>19217.452608695661</v>
      </c>
      <c r="G254" s="24">
        <v>360</v>
      </c>
      <c r="H254" s="10">
        <f>4302.15086956522*3</f>
        <v>12906.452608695661</v>
      </c>
      <c r="I254" s="24">
        <v>0</v>
      </c>
      <c r="J254" s="2">
        <f t="shared" si="301"/>
        <v>8274.7459600000002</v>
      </c>
      <c r="K254" s="21" t="s">
        <v>307</v>
      </c>
      <c r="L254" s="1">
        <v>6365.1891999999998</v>
      </c>
      <c r="M254" s="1">
        <v>70.091000000000008</v>
      </c>
      <c r="N254" s="1">
        <f>3341.55+4302.15086956522</f>
        <v>7643.7008695652203</v>
      </c>
      <c r="O254" s="1">
        <f t="shared" si="302"/>
        <v>6365.1891999999998</v>
      </c>
      <c r="P254" s="2">
        <f t="shared" si="303"/>
        <v>7956.4865</v>
      </c>
      <c r="Q254" s="1">
        <v>0</v>
      </c>
      <c r="R254" s="1">
        <v>0</v>
      </c>
      <c r="S254" s="2">
        <f t="shared" si="304"/>
        <v>6365.1891999999998</v>
      </c>
      <c r="T254" s="2">
        <f>3030+H254</f>
        <v>15936.452608695661</v>
      </c>
      <c r="V254" s="1">
        <f>520*5.9*1.063+4302.15086956522*1.05</f>
        <v>7778.5424130434812</v>
      </c>
      <c r="W254" s="2">
        <f t="shared" si="305"/>
        <v>6365.1891999999998</v>
      </c>
      <c r="X254" s="1">
        <f t="shared" si="334"/>
        <v>6365.1891999999998</v>
      </c>
      <c r="Y254" s="1">
        <f t="shared" si="306"/>
        <v>6365.1891999999998</v>
      </c>
      <c r="Z254" s="1">
        <f>1820+H254*0.373</f>
        <v>6634.1068230434812</v>
      </c>
      <c r="AA254" s="1">
        <f t="shared" si="307"/>
        <v>6046.9297399999996</v>
      </c>
      <c r="AB254" s="1">
        <f t="shared" si="308"/>
        <v>6046.9297399999996</v>
      </c>
      <c r="AC254" s="1">
        <v>0</v>
      </c>
      <c r="AD254" s="1">
        <v>0</v>
      </c>
      <c r="AE254" s="1">
        <f t="shared" si="309"/>
        <v>6365.1891999999998</v>
      </c>
      <c r="AF254" s="1">
        <f t="shared" si="310"/>
        <v>6365.1891999999998</v>
      </c>
      <c r="AG254" s="1">
        <v>0</v>
      </c>
      <c r="AH254" s="1">
        <f t="shared" si="311"/>
        <v>22486.733652173923</v>
      </c>
      <c r="AI254" s="1">
        <f t="shared" si="312"/>
        <v>7001.7081200000002</v>
      </c>
      <c r="AJ254" s="2">
        <f t="shared" si="313"/>
        <v>6365.1891999999998</v>
      </c>
      <c r="AK254" s="1">
        <f t="shared" si="314"/>
        <v>8656.6573120000012</v>
      </c>
      <c r="AL254" s="1">
        <f t="shared" si="315"/>
        <v>6365.1891999999998</v>
      </c>
      <c r="AM254" s="1">
        <f t="shared" si="316"/>
        <v>6365.1891999999998</v>
      </c>
      <c r="AN254" s="1">
        <f t="shared" si="317"/>
        <v>6365.1891999999998</v>
      </c>
      <c r="AO254" s="1">
        <f t="shared" si="318"/>
        <v>6365.1891999999998</v>
      </c>
      <c r="AP254" s="1">
        <f t="shared" si="319"/>
        <v>5092.1513599999998</v>
      </c>
      <c r="AQ254" s="1">
        <f t="shared" si="320"/>
        <v>6365.1891999999998</v>
      </c>
      <c r="AR254" s="1">
        <f t="shared" si="321"/>
        <v>16061.952608695661</v>
      </c>
      <c r="AS254" s="1">
        <f t="shared" si="322"/>
        <v>175.22750000000002</v>
      </c>
      <c r="AT254" s="1">
        <f t="shared" si="323"/>
        <v>6365.1891999999998</v>
      </c>
      <c r="AU254" s="1">
        <v>6720.0882803325003</v>
      </c>
      <c r="AV254" s="1">
        <f t="shared" si="324"/>
        <v>77.100100000000012</v>
      </c>
      <c r="AW254" s="1">
        <f t="shared" si="325"/>
        <v>6365.1891999999998</v>
      </c>
      <c r="AX254" s="1">
        <f t="shared" si="326"/>
        <v>6046.9297399999996</v>
      </c>
      <c r="AY254" s="1">
        <f t="shared" si="327"/>
        <v>5601.3664959999996</v>
      </c>
      <c r="AZ254" s="1">
        <v>0</v>
      </c>
      <c r="BA254" s="1">
        <v>0</v>
      </c>
      <c r="BB254" s="1">
        <v>0</v>
      </c>
      <c r="BC254" s="1">
        <f t="shared" si="295"/>
        <v>6365.1891999999998</v>
      </c>
      <c r="BD254" s="1">
        <f t="shared" si="296"/>
        <v>7001.7081200000002</v>
      </c>
      <c r="BE254" s="1">
        <f t="shared" si="297"/>
        <v>5728.6702800000003</v>
      </c>
      <c r="BF254" s="1">
        <v>0</v>
      </c>
      <c r="BG254" s="1">
        <v>0</v>
      </c>
      <c r="BH254" s="1">
        <v>0</v>
      </c>
      <c r="BI254" s="1">
        <f t="shared" si="328"/>
        <v>7638.2270399999998</v>
      </c>
      <c r="BJ254" s="1">
        <f t="shared" si="329"/>
        <v>6365.1891999999998</v>
      </c>
      <c r="BK254" s="1">
        <f t="shared" si="330"/>
        <v>6046.9297399999996</v>
      </c>
      <c r="BL254" s="1">
        <f t="shared" si="331"/>
        <v>6365.1891999999998</v>
      </c>
      <c r="BM254" s="1">
        <f>4210+N254*1.02</f>
        <v>12006.574886956525</v>
      </c>
      <c r="BN254" s="1">
        <f t="shared" si="332"/>
        <v>6365.1891999999998</v>
      </c>
      <c r="BO254" s="1">
        <f t="shared" si="333"/>
        <v>0</v>
      </c>
      <c r="BP254" s="1">
        <f t="shared" si="337"/>
        <v>22486.733652173923</v>
      </c>
      <c r="BQ254" s="22">
        <f t="shared" si="336"/>
        <v>1.1701204165841914</v>
      </c>
    </row>
    <row r="255" spans="1:69" ht="20.100000000000001" customHeight="1" x14ac:dyDescent="0.2">
      <c r="A255" s="17">
        <f t="shared" si="281"/>
        <v>253</v>
      </c>
      <c r="B255" s="24">
        <v>28485</v>
      </c>
      <c r="C255" s="18" t="s">
        <v>64</v>
      </c>
      <c r="D255" s="19" t="s">
        <v>356</v>
      </c>
      <c r="E255" s="18" t="s">
        <v>347</v>
      </c>
      <c r="F255" s="8">
        <f>8710+H255</f>
        <v>15327.512500000001</v>
      </c>
      <c r="G255" s="24">
        <v>360</v>
      </c>
      <c r="H255" s="10">
        <f>2205.8375*3</f>
        <v>6617.5125000000007</v>
      </c>
      <c r="I255" s="24">
        <v>0</v>
      </c>
      <c r="J255" s="2">
        <f t="shared" si="301"/>
        <v>8274.7459600000002</v>
      </c>
      <c r="K255" s="21" t="s">
        <v>307</v>
      </c>
      <c r="L255" s="1">
        <v>6365.1891999999998</v>
      </c>
      <c r="M255" s="1">
        <v>65.084500000000006</v>
      </c>
      <c r="N255" s="1">
        <f>3655.4+2205.8375</f>
        <v>5861.2375000000002</v>
      </c>
      <c r="O255" s="1">
        <f t="shared" si="302"/>
        <v>6365.1891999999998</v>
      </c>
      <c r="P255" s="2">
        <f t="shared" si="303"/>
        <v>7956.4865</v>
      </c>
      <c r="Q255" s="1">
        <v>0</v>
      </c>
      <c r="R255" s="1">
        <v>0</v>
      </c>
      <c r="S255" s="2">
        <f t="shared" si="304"/>
        <v>6365.1891999999998</v>
      </c>
      <c r="T255" s="2">
        <f>3030+H255</f>
        <v>9647.5125000000007</v>
      </c>
      <c r="V255" s="1">
        <f>643*5.9*1.063+2205.8375*1.05</f>
        <v>6348.8324750000002</v>
      </c>
      <c r="W255" s="2">
        <f t="shared" si="305"/>
        <v>6365.1891999999998</v>
      </c>
      <c r="X255" s="1">
        <f t="shared" si="334"/>
        <v>6365.1891999999998</v>
      </c>
      <c r="Y255" s="1">
        <f t="shared" si="306"/>
        <v>6365.1891999999998</v>
      </c>
      <c r="Z255" s="1">
        <f>2369+H255*0.373</f>
        <v>4837.3321625000008</v>
      </c>
      <c r="AA255" s="1">
        <f t="shared" si="307"/>
        <v>6046.9297399999996</v>
      </c>
      <c r="AB255" s="1">
        <f t="shared" si="308"/>
        <v>6046.9297399999996</v>
      </c>
      <c r="AC255" s="1">
        <v>0</v>
      </c>
      <c r="AD255" s="1">
        <v>0</v>
      </c>
      <c r="AE255" s="1">
        <f t="shared" si="309"/>
        <v>6365.1891999999998</v>
      </c>
      <c r="AF255" s="1">
        <f t="shared" si="310"/>
        <v>6365.1891999999998</v>
      </c>
      <c r="AG255" s="1">
        <v>0</v>
      </c>
      <c r="AH255" s="1">
        <f t="shared" si="311"/>
        <v>15361.517499999998</v>
      </c>
      <c r="AI255" s="1">
        <f t="shared" si="312"/>
        <v>7001.7081200000002</v>
      </c>
      <c r="AJ255" s="2">
        <f t="shared" si="313"/>
        <v>6365.1891999999998</v>
      </c>
      <c r="AK255" s="1">
        <f t="shared" si="314"/>
        <v>8656.6573120000012</v>
      </c>
      <c r="AL255" s="1">
        <f t="shared" si="315"/>
        <v>6365.1891999999998</v>
      </c>
      <c r="AM255" s="1">
        <f t="shared" si="316"/>
        <v>6365.1891999999998</v>
      </c>
      <c r="AN255" s="1">
        <f t="shared" si="317"/>
        <v>6365.1891999999998</v>
      </c>
      <c r="AO255" s="1">
        <f t="shared" si="318"/>
        <v>6365.1891999999998</v>
      </c>
      <c r="AP255" s="1">
        <f t="shared" si="319"/>
        <v>5092.1513599999998</v>
      </c>
      <c r="AQ255" s="1">
        <f t="shared" si="320"/>
        <v>6365.1891999999998</v>
      </c>
      <c r="AR255" s="1">
        <f t="shared" si="321"/>
        <v>10972.512500000001</v>
      </c>
      <c r="AS255" s="1">
        <f t="shared" si="322"/>
        <v>162.71125000000001</v>
      </c>
      <c r="AT255" s="1">
        <f t="shared" si="323"/>
        <v>6365.1891999999998</v>
      </c>
      <c r="AU255" s="1">
        <v>6720.0882803325003</v>
      </c>
      <c r="AV255" s="1">
        <f t="shared" si="324"/>
        <v>71.592950000000016</v>
      </c>
      <c r="AW255" s="1">
        <f t="shared" si="325"/>
        <v>6365.1891999999998</v>
      </c>
      <c r="AX255" s="1">
        <f t="shared" si="326"/>
        <v>6046.9297399999996</v>
      </c>
      <c r="AY255" s="1">
        <f t="shared" si="327"/>
        <v>5601.3664959999996</v>
      </c>
      <c r="AZ255" s="1">
        <v>0</v>
      </c>
      <c r="BA255" s="1">
        <v>0</v>
      </c>
      <c r="BB255" s="1">
        <v>0</v>
      </c>
      <c r="BC255" s="1">
        <f t="shared" si="295"/>
        <v>6365.1891999999998</v>
      </c>
      <c r="BD255" s="1">
        <f t="shared" si="296"/>
        <v>7001.7081200000002</v>
      </c>
      <c r="BE255" s="1">
        <f t="shared" si="297"/>
        <v>5728.6702800000003</v>
      </c>
      <c r="BF255" s="1">
        <v>0</v>
      </c>
      <c r="BG255" s="1">
        <v>0</v>
      </c>
      <c r="BH255" s="1">
        <v>0</v>
      </c>
      <c r="BI255" s="1">
        <f t="shared" si="328"/>
        <v>7638.2270399999998</v>
      </c>
      <c r="BJ255" s="1">
        <f t="shared" si="329"/>
        <v>6365.1891999999998</v>
      </c>
      <c r="BK255" s="1">
        <f t="shared" si="330"/>
        <v>6046.9297399999996</v>
      </c>
      <c r="BL255" s="1">
        <f t="shared" si="331"/>
        <v>6365.1891999999998</v>
      </c>
      <c r="BM255" s="1">
        <f>5960+2205.8375*1.02</f>
        <v>8209.9542500000007</v>
      </c>
      <c r="BN255" s="1">
        <f t="shared" si="332"/>
        <v>6365.1891999999998</v>
      </c>
      <c r="BO255" s="1">
        <f t="shared" si="333"/>
        <v>0</v>
      </c>
      <c r="BP255" s="1">
        <f t="shared" si="337"/>
        <v>15361.517499999998</v>
      </c>
      <c r="BQ255" s="22">
        <f t="shared" si="336"/>
        <v>1.0022185595999349</v>
      </c>
    </row>
    <row r="256" spans="1:69" ht="20.100000000000001" customHeight="1" x14ac:dyDescent="0.2">
      <c r="A256" s="17">
        <f t="shared" si="281"/>
        <v>254</v>
      </c>
      <c r="B256" s="24">
        <v>63655</v>
      </c>
      <c r="C256" s="18" t="s">
        <v>64</v>
      </c>
      <c r="D256" s="19" t="s">
        <v>357</v>
      </c>
      <c r="E256" s="18" t="s">
        <v>347</v>
      </c>
      <c r="F256" s="8">
        <f>15672+H256</f>
        <v>81358.522105263299</v>
      </c>
      <c r="G256" s="24">
        <v>360</v>
      </c>
      <c r="H256" s="10">
        <f>21895.5073684211*3</f>
        <v>65686.522105263299</v>
      </c>
      <c r="I256" s="24">
        <v>0</v>
      </c>
      <c r="J256" s="2">
        <f t="shared" si="301"/>
        <v>27049.693424000001</v>
      </c>
      <c r="K256" s="21" t="s">
        <v>307</v>
      </c>
      <c r="L256" s="1">
        <v>20807.456480000001</v>
      </c>
      <c r="M256" s="1">
        <v>55.071500000000007</v>
      </c>
      <c r="N256" s="1">
        <f>4106.65+21895.5073684211</f>
        <v>26002.157368421096</v>
      </c>
      <c r="O256" s="1">
        <f t="shared" si="302"/>
        <v>20807.456480000001</v>
      </c>
      <c r="P256" s="2">
        <f t="shared" si="303"/>
        <v>26009.320599999999</v>
      </c>
      <c r="Q256" s="1">
        <v>0</v>
      </c>
      <c r="R256" s="1">
        <v>0</v>
      </c>
      <c r="S256" s="2">
        <f t="shared" si="304"/>
        <v>20807.456480000001</v>
      </c>
      <c r="T256" s="2">
        <f>2462+16232</f>
        <v>18694</v>
      </c>
      <c r="V256" s="1">
        <f>1366*5.9*1.063+21895.5073684211*1.05</f>
        <v>31557.424936842152</v>
      </c>
      <c r="W256" s="2">
        <f t="shared" si="305"/>
        <v>20807.456480000001</v>
      </c>
      <c r="X256" s="1">
        <f t="shared" si="334"/>
        <v>20807.456480000001</v>
      </c>
      <c r="Y256" s="1">
        <f t="shared" si="306"/>
        <v>20807.456480000001</v>
      </c>
      <c r="Z256" s="1">
        <f>F256*0.392+H256*0.373</f>
        <v>56393.613410526421</v>
      </c>
      <c r="AA256" s="1">
        <f t="shared" si="307"/>
        <v>19767.083655999999</v>
      </c>
      <c r="AB256" s="1">
        <f t="shared" si="308"/>
        <v>19767.083655999999</v>
      </c>
      <c r="AC256" s="1">
        <v>0</v>
      </c>
      <c r="AD256" s="1">
        <v>0</v>
      </c>
      <c r="AE256" s="1">
        <f t="shared" si="309"/>
        <v>20807.456480000001</v>
      </c>
      <c r="AF256" s="1">
        <f t="shared" si="310"/>
        <v>20807.456480000001</v>
      </c>
      <c r="AG256" s="1">
        <v>0</v>
      </c>
      <c r="AH256" s="1">
        <f t="shared" si="311"/>
        <v>102931.53094736862</v>
      </c>
      <c r="AI256" s="1">
        <f t="shared" si="312"/>
        <v>22888.202128000004</v>
      </c>
      <c r="AJ256" s="2">
        <f t="shared" si="313"/>
        <v>20807.456480000001</v>
      </c>
      <c r="AK256" s="1">
        <f t="shared" si="314"/>
        <v>28298.140812800004</v>
      </c>
      <c r="AL256" s="1">
        <f t="shared" si="315"/>
        <v>20807.456480000001</v>
      </c>
      <c r="AM256" s="1">
        <f t="shared" si="316"/>
        <v>20807.456480000001</v>
      </c>
      <c r="AN256" s="1">
        <f t="shared" si="317"/>
        <v>20807.456480000001</v>
      </c>
      <c r="AO256" s="1">
        <f t="shared" si="318"/>
        <v>20807.456480000001</v>
      </c>
      <c r="AP256" s="1">
        <f t="shared" si="319"/>
        <v>16645.965184000001</v>
      </c>
      <c r="AQ256" s="1">
        <f t="shared" si="320"/>
        <v>20807.456480000001</v>
      </c>
      <c r="AR256" s="1">
        <f t="shared" si="321"/>
        <v>73522.522105263299</v>
      </c>
      <c r="AS256" s="1">
        <f t="shared" si="322"/>
        <v>137.67875000000001</v>
      </c>
      <c r="AT256" s="1">
        <f t="shared" si="323"/>
        <v>20807.456480000001</v>
      </c>
      <c r="AU256" s="1">
        <v>21967.602225363007</v>
      </c>
      <c r="AV256" s="1">
        <f t="shared" si="324"/>
        <v>60.57865000000001</v>
      </c>
      <c r="AW256" s="1">
        <f t="shared" si="325"/>
        <v>20807.456480000001</v>
      </c>
      <c r="AX256" s="1">
        <f t="shared" si="326"/>
        <v>19767.083655999999</v>
      </c>
      <c r="AY256" s="1">
        <f t="shared" si="327"/>
        <v>18310.561702400002</v>
      </c>
      <c r="AZ256" s="1">
        <v>0</v>
      </c>
      <c r="BA256" s="1">
        <v>0</v>
      </c>
      <c r="BB256" s="1">
        <v>0</v>
      </c>
      <c r="BC256" s="1">
        <f t="shared" si="295"/>
        <v>20807.456480000001</v>
      </c>
      <c r="BD256" s="1">
        <f t="shared" si="296"/>
        <v>22888.202128000004</v>
      </c>
      <c r="BE256" s="1">
        <f t="shared" si="297"/>
        <v>18726.710832000001</v>
      </c>
      <c r="BF256" s="1">
        <v>0</v>
      </c>
      <c r="BG256" s="1">
        <v>0</v>
      </c>
      <c r="BH256" s="1">
        <v>0</v>
      </c>
      <c r="BI256" s="1">
        <f t="shared" si="328"/>
        <v>24968.947776000001</v>
      </c>
      <c r="BJ256" s="1">
        <f t="shared" si="329"/>
        <v>20807.456480000001</v>
      </c>
      <c r="BK256" s="1">
        <f t="shared" si="330"/>
        <v>19767.083655999999</v>
      </c>
      <c r="BL256" s="1">
        <f t="shared" si="331"/>
        <v>20807.456480000001</v>
      </c>
      <c r="BM256" s="1">
        <f>10830+21895.5073684211*1.02</f>
        <v>33163.417515789522</v>
      </c>
      <c r="BN256" s="1">
        <f t="shared" si="332"/>
        <v>20807.456480000001</v>
      </c>
      <c r="BO256" s="1">
        <f t="shared" si="333"/>
        <v>0</v>
      </c>
      <c r="BP256" s="1">
        <f t="shared" si="337"/>
        <v>102931.53094736862</v>
      </c>
      <c r="BQ256" s="22">
        <f t="shared" si="336"/>
        <v>1.2651597925315523</v>
      </c>
    </row>
    <row r="257" spans="1:69" ht="20.100000000000001" customHeight="1" x14ac:dyDescent="0.2">
      <c r="A257" s="17">
        <f t="shared" si="281"/>
        <v>255</v>
      </c>
      <c r="B257" s="24">
        <v>45330</v>
      </c>
      <c r="C257" s="18" t="s">
        <v>64</v>
      </c>
      <c r="D257" s="26" t="s">
        <v>358</v>
      </c>
      <c r="E257" s="18" t="s">
        <v>347</v>
      </c>
      <c r="F257" s="8">
        <f>1392+H257</f>
        <v>5706</v>
      </c>
      <c r="G257" s="24">
        <v>360</v>
      </c>
      <c r="H257" s="11">
        <f>1438*3</f>
        <v>4314</v>
      </c>
      <c r="I257" s="24">
        <v>0</v>
      </c>
      <c r="J257" s="2">
        <f t="shared" si="301"/>
        <v>1048.2529199999999</v>
      </c>
      <c r="K257" s="21" t="s">
        <v>307</v>
      </c>
      <c r="L257" s="2">
        <v>806.34839999999997</v>
      </c>
      <c r="M257" s="2">
        <v>50.065000000000005</v>
      </c>
      <c r="N257" s="1">
        <f>1178.3+1438</f>
        <v>2616.3000000000002</v>
      </c>
      <c r="O257" s="1">
        <f t="shared" si="302"/>
        <v>806.34839999999997</v>
      </c>
      <c r="P257" s="2">
        <f t="shared" si="303"/>
        <v>1007.9354999999999</v>
      </c>
      <c r="Q257" s="1">
        <v>0</v>
      </c>
      <c r="R257" s="1">
        <v>0</v>
      </c>
      <c r="S257" s="2">
        <f t="shared" si="304"/>
        <v>806.34839999999997</v>
      </c>
      <c r="T257" s="2">
        <f>1726+H257</f>
        <v>6040</v>
      </c>
      <c r="V257" s="1">
        <f>340*5.9*1.063+1438*1.05</f>
        <v>3642.2780000000002</v>
      </c>
      <c r="W257" s="2">
        <f t="shared" si="305"/>
        <v>806.34839999999997</v>
      </c>
      <c r="X257" s="1">
        <f t="shared" si="334"/>
        <v>806.34839999999997</v>
      </c>
      <c r="Y257" s="1">
        <f t="shared" si="306"/>
        <v>806.34839999999997</v>
      </c>
      <c r="Z257" s="1">
        <f>1093+H257*0.373</f>
        <v>2702.1220000000003</v>
      </c>
      <c r="AA257" s="1">
        <f t="shared" si="307"/>
        <v>766.03097999999989</v>
      </c>
      <c r="AB257" s="1">
        <f t="shared" si="308"/>
        <v>766.03097999999989</v>
      </c>
      <c r="AC257" s="1">
        <v>0</v>
      </c>
      <c r="AD257" s="1">
        <v>0</v>
      </c>
      <c r="AE257" s="1">
        <f t="shared" si="309"/>
        <v>806.34839999999997</v>
      </c>
      <c r="AF257" s="1">
        <f t="shared" si="310"/>
        <v>806.34839999999997</v>
      </c>
      <c r="AG257" s="1">
        <v>0</v>
      </c>
      <c r="AH257" s="1">
        <f t="shared" si="311"/>
        <v>7014</v>
      </c>
      <c r="AI257" s="1">
        <f t="shared" si="312"/>
        <v>886.98324000000002</v>
      </c>
      <c r="AJ257" s="2">
        <f t="shared" si="313"/>
        <v>806.34839999999997</v>
      </c>
      <c r="AK257" s="1">
        <f t="shared" si="314"/>
        <v>1096.633824</v>
      </c>
      <c r="AL257" s="1">
        <f t="shared" si="315"/>
        <v>806.34839999999997</v>
      </c>
      <c r="AM257" s="1">
        <f t="shared" si="316"/>
        <v>806.34839999999997</v>
      </c>
      <c r="AN257" s="1">
        <f t="shared" si="317"/>
        <v>806.34839999999997</v>
      </c>
      <c r="AO257" s="1">
        <f t="shared" si="318"/>
        <v>806.34839999999997</v>
      </c>
      <c r="AP257" s="1">
        <f t="shared" si="319"/>
        <v>645.07871999999998</v>
      </c>
      <c r="AQ257" s="1">
        <f t="shared" si="320"/>
        <v>806.34839999999997</v>
      </c>
      <c r="AR257" s="1">
        <f t="shared" si="321"/>
        <v>5010</v>
      </c>
      <c r="AS257" s="1">
        <f t="shared" si="322"/>
        <v>125.16250000000001</v>
      </c>
      <c r="AT257" s="1">
        <f t="shared" si="323"/>
        <v>806.34839999999997</v>
      </c>
      <c r="AU257" s="1">
        <v>851.30736297750013</v>
      </c>
      <c r="AV257" s="1">
        <f t="shared" si="324"/>
        <v>55.071500000000007</v>
      </c>
      <c r="AW257" s="1">
        <f t="shared" si="325"/>
        <v>806.34839999999997</v>
      </c>
      <c r="AX257" s="1">
        <f t="shared" si="326"/>
        <v>766.03097999999989</v>
      </c>
      <c r="AY257" s="1">
        <f t="shared" si="327"/>
        <v>709.586592</v>
      </c>
      <c r="AZ257" s="1">
        <v>0</v>
      </c>
      <c r="BA257" s="1">
        <v>0</v>
      </c>
      <c r="BB257" s="1">
        <v>0</v>
      </c>
      <c r="BC257" s="1">
        <f t="shared" si="295"/>
        <v>806.34839999999997</v>
      </c>
      <c r="BD257" s="1">
        <f t="shared" si="296"/>
        <v>886.98324000000002</v>
      </c>
      <c r="BE257" s="1">
        <f t="shared" si="297"/>
        <v>725.71356000000003</v>
      </c>
      <c r="BF257" s="1">
        <v>0</v>
      </c>
      <c r="BG257" s="1">
        <v>0</v>
      </c>
      <c r="BH257" s="1">
        <v>0</v>
      </c>
      <c r="BI257" s="1">
        <f t="shared" si="328"/>
        <v>967.61807999999996</v>
      </c>
      <c r="BJ257" s="1">
        <f t="shared" si="329"/>
        <v>806.34839999999997</v>
      </c>
      <c r="BK257" s="2">
        <f t="shared" si="330"/>
        <v>766.03097999999989</v>
      </c>
      <c r="BL257" s="1">
        <f t="shared" si="331"/>
        <v>806.34839999999997</v>
      </c>
      <c r="BM257" s="1">
        <f>957+1438*1.02</f>
        <v>2423.7600000000002</v>
      </c>
      <c r="BN257" s="1">
        <f t="shared" si="332"/>
        <v>806.34839999999997</v>
      </c>
      <c r="BO257" s="2">
        <f t="shared" si="333"/>
        <v>0</v>
      </c>
      <c r="BP257" s="2">
        <f t="shared" si="337"/>
        <v>7014</v>
      </c>
      <c r="BQ257" s="22">
        <f t="shared" si="336"/>
        <v>1.2292323869610935</v>
      </c>
    </row>
    <row r="258" spans="1:69" ht="20.100000000000001" customHeight="1" x14ac:dyDescent="0.2">
      <c r="A258" s="17">
        <f t="shared" si="281"/>
        <v>256</v>
      </c>
      <c r="B258" s="24">
        <v>29881</v>
      </c>
      <c r="C258" s="18" t="s">
        <v>64</v>
      </c>
      <c r="D258" s="19" t="s">
        <v>359</v>
      </c>
      <c r="E258" s="18" t="s">
        <v>347</v>
      </c>
      <c r="F258" s="8">
        <f>5203+H258</f>
        <v>7549</v>
      </c>
      <c r="G258" s="24">
        <v>360</v>
      </c>
      <c r="H258" s="11">
        <f>782*3</f>
        <v>2346</v>
      </c>
      <c r="I258" s="24">
        <v>0</v>
      </c>
      <c r="J258" s="2">
        <f t="shared" si="301"/>
        <v>3738.3923200000004</v>
      </c>
      <c r="K258" s="21" t="s">
        <v>307</v>
      </c>
      <c r="L258" s="2">
        <v>2875.6864</v>
      </c>
      <c r="M258" s="2">
        <v>95.123500000000007</v>
      </c>
      <c r="N258" s="1">
        <v>3655.4</v>
      </c>
      <c r="O258" s="1">
        <f t="shared" si="302"/>
        <v>2875.6864</v>
      </c>
      <c r="P258" s="2">
        <f t="shared" si="303"/>
        <v>3594.6080000000002</v>
      </c>
      <c r="Q258" s="1">
        <v>0</v>
      </c>
      <c r="R258" s="1">
        <v>0</v>
      </c>
      <c r="S258" s="2">
        <f t="shared" si="304"/>
        <v>2875.6864</v>
      </c>
      <c r="T258" s="1">
        <v>3241</v>
      </c>
      <c r="U258" s="1"/>
      <c r="V258" s="1">
        <f>643*5.9*1.063</f>
        <v>4032.7031000000002</v>
      </c>
      <c r="W258" s="2">
        <f t="shared" si="305"/>
        <v>2875.6864</v>
      </c>
      <c r="X258" s="1">
        <f t="shared" si="334"/>
        <v>2875.6864</v>
      </c>
      <c r="Y258" s="1">
        <f t="shared" si="306"/>
        <v>2875.6864</v>
      </c>
      <c r="Z258" s="1">
        <v>2369</v>
      </c>
      <c r="AA258" s="1">
        <f t="shared" si="307"/>
        <v>2731.9020799999998</v>
      </c>
      <c r="AB258" s="1">
        <f t="shared" si="308"/>
        <v>2731.9020799999998</v>
      </c>
      <c r="AC258" s="1">
        <v>0</v>
      </c>
      <c r="AD258" s="1">
        <v>0</v>
      </c>
      <c r="AE258" s="1">
        <f t="shared" si="309"/>
        <v>2875.6864</v>
      </c>
      <c r="AF258" s="1">
        <f t="shared" si="310"/>
        <v>2875.6864</v>
      </c>
      <c r="AG258" s="1">
        <v>0</v>
      </c>
      <c r="AH258" s="1">
        <f>F258*0.7</f>
        <v>5284.2999999999993</v>
      </c>
      <c r="AI258" s="1">
        <f t="shared" si="312"/>
        <v>3163.2550400000005</v>
      </c>
      <c r="AJ258" s="2">
        <f t="shared" si="313"/>
        <v>2875.6864</v>
      </c>
      <c r="AK258" s="1">
        <f t="shared" si="314"/>
        <v>3910.9335040000005</v>
      </c>
      <c r="AL258" s="1">
        <f t="shared" si="315"/>
        <v>2875.6864</v>
      </c>
      <c r="AM258" s="1">
        <f t="shared" si="316"/>
        <v>2875.6864</v>
      </c>
      <c r="AN258" s="1">
        <f t="shared" si="317"/>
        <v>2875.6864</v>
      </c>
      <c r="AO258" s="1">
        <f t="shared" si="318"/>
        <v>2875.6864</v>
      </c>
      <c r="AP258" s="1">
        <f t="shared" si="319"/>
        <v>2300.5491200000001</v>
      </c>
      <c r="AQ258" s="1">
        <f t="shared" si="320"/>
        <v>2875.6864</v>
      </c>
      <c r="AR258" s="1">
        <f>F258*0.5</f>
        <v>3774.5</v>
      </c>
      <c r="AS258" s="1">
        <f t="shared" si="322"/>
        <v>237.80875000000003</v>
      </c>
      <c r="AT258" s="1">
        <f t="shared" si="323"/>
        <v>2875.6864</v>
      </c>
      <c r="AU258" s="1">
        <v>3036.0238898400003</v>
      </c>
      <c r="AV258" s="1">
        <f t="shared" si="324"/>
        <v>104.63585000000002</v>
      </c>
      <c r="AW258" s="1">
        <f t="shared" si="325"/>
        <v>2875.6864</v>
      </c>
      <c r="AX258" s="1">
        <f t="shared" si="326"/>
        <v>2731.9020799999998</v>
      </c>
      <c r="AY258" s="1">
        <f t="shared" si="327"/>
        <v>2530.6040320000002</v>
      </c>
      <c r="AZ258" s="1">
        <v>0</v>
      </c>
      <c r="BA258" s="1">
        <v>0</v>
      </c>
      <c r="BB258" s="1">
        <v>0</v>
      </c>
      <c r="BC258" s="1">
        <f t="shared" si="295"/>
        <v>2875.6864</v>
      </c>
      <c r="BD258" s="1">
        <f t="shared" si="296"/>
        <v>3163.2550400000005</v>
      </c>
      <c r="BE258" s="1">
        <f t="shared" si="297"/>
        <v>2588.1177600000001</v>
      </c>
      <c r="BF258" s="1">
        <v>0</v>
      </c>
      <c r="BG258" s="1">
        <v>0</v>
      </c>
      <c r="BH258" s="1">
        <v>0</v>
      </c>
      <c r="BI258" s="1">
        <f t="shared" si="328"/>
        <v>3450.82368</v>
      </c>
      <c r="BJ258" s="1">
        <f t="shared" si="329"/>
        <v>2875.6864</v>
      </c>
      <c r="BK258" s="2">
        <f t="shared" si="330"/>
        <v>2731.9020799999998</v>
      </c>
      <c r="BL258" s="1">
        <f t="shared" si="331"/>
        <v>2875.6864</v>
      </c>
      <c r="BM258" s="1">
        <v>4210</v>
      </c>
      <c r="BN258" s="1">
        <f t="shared" si="332"/>
        <v>2875.6864</v>
      </c>
      <c r="BO258" s="2">
        <f t="shared" si="333"/>
        <v>0</v>
      </c>
      <c r="BP258" s="2">
        <f t="shared" si="337"/>
        <v>5284.2999999999993</v>
      </c>
      <c r="BQ258" s="22">
        <f t="shared" si="336"/>
        <v>0.7</v>
      </c>
    </row>
    <row r="259" spans="1:69" ht="20.100000000000001" customHeight="1" x14ac:dyDescent="0.2">
      <c r="A259" s="17">
        <f t="shared" si="281"/>
        <v>257</v>
      </c>
      <c r="B259" s="24">
        <v>61885</v>
      </c>
      <c r="C259" s="18" t="s">
        <v>64</v>
      </c>
      <c r="D259" s="19" t="s">
        <v>360</v>
      </c>
      <c r="E259" s="18" t="s">
        <v>347</v>
      </c>
      <c r="F259" s="8">
        <f>36372+H259</f>
        <v>97093.873124999998</v>
      </c>
      <c r="G259" s="24">
        <v>360</v>
      </c>
      <c r="H259" s="10">
        <f>20240.624375*3</f>
        <v>60721.873124999998</v>
      </c>
      <c r="I259" s="24">
        <v>0</v>
      </c>
      <c r="J259" s="2">
        <f t="shared" si="301"/>
        <v>27049.693424000001</v>
      </c>
      <c r="K259" s="21" t="s">
        <v>307</v>
      </c>
      <c r="L259" s="1">
        <v>20807.456480000001</v>
      </c>
      <c r="M259" s="1">
        <v>55.071500000000007</v>
      </c>
      <c r="N259" s="1">
        <f>2150.55+20240.624375</f>
        <v>22391.174374999999</v>
      </c>
      <c r="O259" s="1">
        <f t="shared" si="302"/>
        <v>20807.456480000001</v>
      </c>
      <c r="P259" s="2">
        <f t="shared" si="303"/>
        <v>26009.320599999999</v>
      </c>
      <c r="Q259" s="1">
        <v>0</v>
      </c>
      <c r="R259" s="1">
        <v>0</v>
      </c>
      <c r="S259" s="2">
        <f t="shared" si="304"/>
        <v>20807.456480000001</v>
      </c>
      <c r="T259" s="2">
        <f>2462+16232</f>
        <v>18694</v>
      </c>
      <c r="V259" s="1">
        <f>455*5.9*1.063+20240.624375*1.05</f>
        <v>24106.279093750003</v>
      </c>
      <c r="W259" s="2">
        <f t="shared" si="305"/>
        <v>20807.456480000001</v>
      </c>
      <c r="X259" s="1">
        <f t="shared" si="334"/>
        <v>20807.456480000001</v>
      </c>
      <c r="Y259" s="1">
        <f t="shared" si="306"/>
        <v>20807.456480000001</v>
      </c>
      <c r="Z259" s="1">
        <f>1454+H259*0.373</f>
        <v>24103.258675624998</v>
      </c>
      <c r="AA259" s="1">
        <f t="shared" si="307"/>
        <v>19767.083655999999</v>
      </c>
      <c r="AB259" s="1">
        <f t="shared" si="308"/>
        <v>19767.083655999999</v>
      </c>
      <c r="AC259" s="1">
        <v>0</v>
      </c>
      <c r="AD259" s="1">
        <v>0</v>
      </c>
      <c r="AE259" s="1">
        <f t="shared" si="309"/>
        <v>20807.456480000001</v>
      </c>
      <c r="AF259" s="1">
        <f t="shared" si="310"/>
        <v>20807.456480000001</v>
      </c>
      <c r="AG259" s="1">
        <v>0</v>
      </c>
      <c r="AH259" s="1">
        <f t="shared" ref="AH259:AH264" si="338">F259*0.7+H259*0.7</f>
        <v>110471.022375</v>
      </c>
      <c r="AI259" s="1">
        <f t="shared" si="312"/>
        <v>22888.202128000004</v>
      </c>
      <c r="AJ259" s="2">
        <f t="shared" si="313"/>
        <v>20807.456480000001</v>
      </c>
      <c r="AK259" s="1">
        <f t="shared" si="314"/>
        <v>28298.140812800004</v>
      </c>
      <c r="AL259" s="1">
        <f t="shared" si="315"/>
        <v>20807.456480000001</v>
      </c>
      <c r="AM259" s="1">
        <f t="shared" si="316"/>
        <v>20807.456480000001</v>
      </c>
      <c r="AN259" s="1">
        <f t="shared" si="317"/>
        <v>20807.456480000001</v>
      </c>
      <c r="AO259" s="1">
        <f t="shared" si="318"/>
        <v>20807.456480000001</v>
      </c>
      <c r="AP259" s="1">
        <f t="shared" si="319"/>
        <v>16645.965184000001</v>
      </c>
      <c r="AQ259" s="1">
        <f t="shared" si="320"/>
        <v>20807.456480000001</v>
      </c>
      <c r="AR259" s="1">
        <f t="shared" ref="AR259:AR264" si="339">F259*0.5+H259*0.5</f>
        <v>78907.873124999998</v>
      </c>
      <c r="AS259" s="1">
        <f t="shared" si="322"/>
        <v>137.67875000000001</v>
      </c>
      <c r="AT259" s="1">
        <f t="shared" si="323"/>
        <v>20807.456480000001</v>
      </c>
      <c r="AU259" s="1">
        <v>21967.602225363007</v>
      </c>
      <c r="AV259" s="1">
        <f t="shared" si="324"/>
        <v>60.57865000000001</v>
      </c>
      <c r="AW259" s="1">
        <f t="shared" si="325"/>
        <v>20807.456480000001</v>
      </c>
      <c r="AX259" s="1">
        <f t="shared" si="326"/>
        <v>19767.083655999999</v>
      </c>
      <c r="AY259" s="1">
        <f t="shared" si="327"/>
        <v>18310.561702400002</v>
      </c>
      <c r="AZ259" s="1">
        <v>0</v>
      </c>
      <c r="BA259" s="1">
        <v>0</v>
      </c>
      <c r="BB259" s="1">
        <v>0</v>
      </c>
      <c r="BC259" s="1">
        <f t="shared" si="295"/>
        <v>20807.456480000001</v>
      </c>
      <c r="BD259" s="1">
        <f t="shared" si="296"/>
        <v>22888.202128000004</v>
      </c>
      <c r="BE259" s="1">
        <f t="shared" si="297"/>
        <v>18726.710832000001</v>
      </c>
      <c r="BF259" s="1">
        <v>0</v>
      </c>
      <c r="BG259" s="1">
        <v>0</v>
      </c>
      <c r="BH259" s="1">
        <v>0</v>
      </c>
      <c r="BI259" s="1">
        <f t="shared" si="328"/>
        <v>24968.947776000001</v>
      </c>
      <c r="BJ259" s="1">
        <f t="shared" si="329"/>
        <v>20807.456480000001</v>
      </c>
      <c r="BK259" s="1">
        <f t="shared" si="330"/>
        <v>19767.083655999999</v>
      </c>
      <c r="BL259" s="1">
        <f t="shared" si="331"/>
        <v>20807.456480000001</v>
      </c>
      <c r="BM259" s="1">
        <f>10968+20240.624375*1.02</f>
        <v>31613.436862499999</v>
      </c>
      <c r="BN259" s="1">
        <f t="shared" si="332"/>
        <v>20807.456480000001</v>
      </c>
      <c r="BO259" s="1">
        <f t="shared" si="333"/>
        <v>0</v>
      </c>
      <c r="BP259" s="1">
        <f t="shared" si="337"/>
        <v>110471.022375</v>
      </c>
      <c r="BQ259" s="22">
        <f t="shared" si="336"/>
        <v>1.1377754210379276</v>
      </c>
    </row>
    <row r="260" spans="1:69" ht="20.100000000000001" customHeight="1" x14ac:dyDescent="0.2">
      <c r="A260" s="17">
        <f t="shared" si="281"/>
        <v>258</v>
      </c>
      <c r="B260" s="24">
        <v>22514</v>
      </c>
      <c r="C260" s="18" t="s">
        <v>64</v>
      </c>
      <c r="D260" s="19" t="s">
        <v>361</v>
      </c>
      <c r="E260" s="18" t="s">
        <v>347</v>
      </c>
      <c r="F260" s="8">
        <f>21195+H260</f>
        <v>36283.443333333329</v>
      </c>
      <c r="G260" s="24">
        <v>360</v>
      </c>
      <c r="H260" s="10">
        <f>5029.48111111111*3</f>
        <v>15088.443333333331</v>
      </c>
      <c r="I260" s="24">
        <v>0</v>
      </c>
      <c r="J260" s="2">
        <f t="shared" si="301"/>
        <v>8274.7459600000002</v>
      </c>
      <c r="K260" s="21" t="s">
        <v>307</v>
      </c>
      <c r="L260" s="1">
        <v>6365.1891999999998</v>
      </c>
      <c r="M260" s="1">
        <v>55.071500000000007</v>
      </c>
      <c r="N260" s="1">
        <f>3907+5029.48111111111</f>
        <v>8936.4811111111103</v>
      </c>
      <c r="O260" s="1">
        <f t="shared" si="302"/>
        <v>6365.1891999999998</v>
      </c>
      <c r="P260" s="2">
        <f t="shared" si="303"/>
        <v>7956.4865</v>
      </c>
      <c r="Q260" s="1">
        <v>0</v>
      </c>
      <c r="R260" s="1">
        <v>0</v>
      </c>
      <c r="S260" s="2">
        <f t="shared" si="304"/>
        <v>6365.1891999999998</v>
      </c>
      <c r="T260" s="2">
        <f>2462+H260</f>
        <v>17550.443333333329</v>
      </c>
      <c r="V260" s="1">
        <f>731*5.9*1.063+5029.48111111111*1.05</f>
        <v>9865.5678666666663</v>
      </c>
      <c r="W260" s="2">
        <f t="shared" si="305"/>
        <v>6365.1891999999998</v>
      </c>
      <c r="X260" s="1">
        <f t="shared" si="334"/>
        <v>6365.1891999999998</v>
      </c>
      <c r="Y260" s="1">
        <f t="shared" si="306"/>
        <v>6365.1891999999998</v>
      </c>
      <c r="Z260" s="1">
        <f>F260*0.392+H260*0.373</f>
        <v>19851.099149999998</v>
      </c>
      <c r="AA260" s="1">
        <f t="shared" si="307"/>
        <v>6046.9297399999996</v>
      </c>
      <c r="AB260" s="1">
        <f t="shared" si="308"/>
        <v>6046.9297399999996</v>
      </c>
      <c r="AC260" s="1">
        <v>0</v>
      </c>
      <c r="AD260" s="1">
        <v>0</v>
      </c>
      <c r="AE260" s="1">
        <f t="shared" si="309"/>
        <v>6365.1891999999998</v>
      </c>
      <c r="AF260" s="1">
        <f t="shared" si="310"/>
        <v>6365.1891999999998</v>
      </c>
      <c r="AG260" s="1">
        <v>0</v>
      </c>
      <c r="AH260" s="1">
        <f t="shared" si="338"/>
        <v>35960.320666666659</v>
      </c>
      <c r="AI260" s="1">
        <f t="shared" si="312"/>
        <v>7001.7081200000002</v>
      </c>
      <c r="AJ260" s="2">
        <f t="shared" si="313"/>
        <v>6365.1891999999998</v>
      </c>
      <c r="AK260" s="1">
        <f t="shared" si="314"/>
        <v>8656.6573120000012</v>
      </c>
      <c r="AL260" s="1">
        <f t="shared" si="315"/>
        <v>6365.1891999999998</v>
      </c>
      <c r="AM260" s="1">
        <f t="shared" si="316"/>
        <v>6365.1891999999998</v>
      </c>
      <c r="AN260" s="1">
        <f t="shared" si="317"/>
        <v>6365.1891999999998</v>
      </c>
      <c r="AO260" s="1">
        <f t="shared" si="318"/>
        <v>6365.1891999999998</v>
      </c>
      <c r="AP260" s="1">
        <f t="shared" si="319"/>
        <v>5092.1513599999998</v>
      </c>
      <c r="AQ260" s="1">
        <f t="shared" si="320"/>
        <v>6365.1891999999998</v>
      </c>
      <c r="AR260" s="1">
        <f t="shared" si="339"/>
        <v>25685.943333333329</v>
      </c>
      <c r="AS260" s="1">
        <f t="shared" si="322"/>
        <v>137.67875000000001</v>
      </c>
      <c r="AT260" s="1">
        <f t="shared" si="323"/>
        <v>6365.1891999999998</v>
      </c>
      <c r="AU260" s="1">
        <v>6720.0882803325003</v>
      </c>
      <c r="AV260" s="1">
        <f t="shared" si="324"/>
        <v>60.57865000000001</v>
      </c>
      <c r="AW260" s="1">
        <f t="shared" si="325"/>
        <v>6365.1891999999998</v>
      </c>
      <c r="AX260" s="1">
        <f t="shared" si="326"/>
        <v>6046.9297399999996</v>
      </c>
      <c r="AY260" s="1">
        <f t="shared" si="327"/>
        <v>5601.3664959999996</v>
      </c>
      <c r="AZ260" s="1">
        <v>0</v>
      </c>
      <c r="BA260" s="1">
        <v>0</v>
      </c>
      <c r="BB260" s="1">
        <v>0</v>
      </c>
      <c r="BC260" s="1">
        <f t="shared" si="295"/>
        <v>6365.1891999999998</v>
      </c>
      <c r="BD260" s="1">
        <f t="shared" si="296"/>
        <v>7001.7081200000002</v>
      </c>
      <c r="BE260" s="1">
        <f t="shared" si="297"/>
        <v>5728.6702800000003</v>
      </c>
      <c r="BF260" s="1">
        <v>0</v>
      </c>
      <c r="BG260" s="1">
        <v>0</v>
      </c>
      <c r="BH260" s="1">
        <v>0</v>
      </c>
      <c r="BI260" s="1">
        <f t="shared" si="328"/>
        <v>7638.2270399999998</v>
      </c>
      <c r="BJ260" s="1">
        <f t="shared" si="329"/>
        <v>6365.1891999999998</v>
      </c>
      <c r="BK260" s="1">
        <f t="shared" si="330"/>
        <v>6046.9297399999996</v>
      </c>
      <c r="BL260" s="1">
        <f t="shared" si="331"/>
        <v>6365.1891999999998</v>
      </c>
      <c r="BM260" s="1">
        <f>5960+5029.48111111111*1.02</f>
        <v>11090.070733333334</v>
      </c>
      <c r="BN260" s="1">
        <f t="shared" si="332"/>
        <v>6365.1891999999998</v>
      </c>
      <c r="BO260" s="1">
        <f t="shared" si="333"/>
        <v>0</v>
      </c>
      <c r="BP260" s="1">
        <f t="shared" si="337"/>
        <v>35960.320666666659</v>
      </c>
      <c r="BQ260" s="22">
        <f t="shared" si="336"/>
        <v>0.99109448726521998</v>
      </c>
    </row>
    <row r="261" spans="1:69" ht="20.100000000000001" customHeight="1" x14ac:dyDescent="0.2">
      <c r="A261" s="17">
        <f t="shared" si="281"/>
        <v>259</v>
      </c>
      <c r="B261" s="24">
        <v>27698</v>
      </c>
      <c r="C261" s="18" t="s">
        <v>64</v>
      </c>
      <c r="D261" s="19" t="s">
        <v>362</v>
      </c>
      <c r="E261" s="18" t="s">
        <v>347</v>
      </c>
      <c r="F261" s="8">
        <f>6216+H261</f>
        <v>14717.82428571429</v>
      </c>
      <c r="G261" s="24">
        <v>360</v>
      </c>
      <c r="H261" s="10">
        <f>2833.94142857143*3</f>
        <v>8501.8242857142905</v>
      </c>
      <c r="I261" s="24">
        <v>0</v>
      </c>
      <c r="J261" s="2">
        <f t="shared" si="301"/>
        <v>8274.7459600000002</v>
      </c>
      <c r="K261" s="21" t="s">
        <v>307</v>
      </c>
      <c r="L261" s="1">
        <v>6365.1891999999998</v>
      </c>
      <c r="M261" s="1">
        <v>85.110500000000002</v>
      </c>
      <c r="N261" s="1">
        <f>2150.55+2833.94142857143</f>
        <v>4984.4914285714303</v>
      </c>
      <c r="O261" s="1">
        <f t="shared" si="302"/>
        <v>6365.1891999999998</v>
      </c>
      <c r="P261" s="2">
        <f t="shared" si="303"/>
        <v>7956.4865</v>
      </c>
      <c r="Q261" s="1">
        <v>0</v>
      </c>
      <c r="R261" s="1">
        <v>0</v>
      </c>
      <c r="S261" s="2">
        <f t="shared" si="304"/>
        <v>6365.1891999999998</v>
      </c>
      <c r="T261" s="2">
        <f>2462+H261</f>
        <v>10963.82428571429</v>
      </c>
      <c r="V261" s="1">
        <f>455*5.9*1.063+2833.94142857143*1.05</f>
        <v>5829.2620000000015</v>
      </c>
      <c r="W261" s="2">
        <f t="shared" si="305"/>
        <v>6365.1891999999998</v>
      </c>
      <c r="X261" s="1">
        <f t="shared" si="334"/>
        <v>6365.1891999999998</v>
      </c>
      <c r="Y261" s="1">
        <f t="shared" si="306"/>
        <v>6365.1891999999998</v>
      </c>
      <c r="Z261" s="1">
        <f>1454+H261*0.373</f>
        <v>4625.1804585714308</v>
      </c>
      <c r="AA261" s="1">
        <f t="shared" si="307"/>
        <v>6046.9297399999996</v>
      </c>
      <c r="AB261" s="1">
        <f t="shared" si="308"/>
        <v>6046.9297399999996</v>
      </c>
      <c r="AC261" s="1">
        <v>0</v>
      </c>
      <c r="AD261" s="1">
        <v>0</v>
      </c>
      <c r="AE261" s="1">
        <f t="shared" si="309"/>
        <v>6365.1891999999998</v>
      </c>
      <c r="AF261" s="1">
        <f t="shared" si="310"/>
        <v>6365.1891999999998</v>
      </c>
      <c r="AG261" s="1">
        <v>0</v>
      </c>
      <c r="AH261" s="1">
        <f t="shared" si="338"/>
        <v>16253.754000000004</v>
      </c>
      <c r="AI261" s="1">
        <f t="shared" si="312"/>
        <v>7001.7081200000002</v>
      </c>
      <c r="AJ261" s="2">
        <f t="shared" si="313"/>
        <v>6365.1891999999998</v>
      </c>
      <c r="AK261" s="1">
        <f t="shared" si="314"/>
        <v>8656.6573120000012</v>
      </c>
      <c r="AL261" s="1">
        <f t="shared" si="315"/>
        <v>6365.1891999999998</v>
      </c>
      <c r="AM261" s="1">
        <f t="shared" si="316"/>
        <v>6365.1891999999998</v>
      </c>
      <c r="AN261" s="1">
        <f t="shared" si="317"/>
        <v>6365.1891999999998</v>
      </c>
      <c r="AO261" s="1">
        <f t="shared" si="318"/>
        <v>6365.1891999999998</v>
      </c>
      <c r="AP261" s="1">
        <f t="shared" si="319"/>
        <v>5092.1513599999998</v>
      </c>
      <c r="AQ261" s="1">
        <f t="shared" si="320"/>
        <v>6365.1891999999998</v>
      </c>
      <c r="AR261" s="1">
        <f t="shared" si="339"/>
        <v>11609.82428571429</v>
      </c>
      <c r="AS261" s="1">
        <f t="shared" si="322"/>
        <v>212.77625</v>
      </c>
      <c r="AT261" s="1">
        <f t="shared" si="323"/>
        <v>6365.1891999999998</v>
      </c>
      <c r="AU261" s="1">
        <v>6720.0882803325003</v>
      </c>
      <c r="AV261" s="1">
        <f t="shared" si="324"/>
        <v>93.621550000000013</v>
      </c>
      <c r="AW261" s="1">
        <f t="shared" si="325"/>
        <v>6365.1891999999998</v>
      </c>
      <c r="AX261" s="1">
        <f t="shared" si="326"/>
        <v>6046.9297399999996</v>
      </c>
      <c r="AY261" s="1">
        <f t="shared" si="327"/>
        <v>5601.3664959999996</v>
      </c>
      <c r="AZ261" s="1">
        <v>0</v>
      </c>
      <c r="BA261" s="1">
        <v>0</v>
      </c>
      <c r="BB261" s="1">
        <v>0</v>
      </c>
      <c r="BC261" s="1">
        <f t="shared" si="295"/>
        <v>6365.1891999999998</v>
      </c>
      <c r="BD261" s="1">
        <f t="shared" si="296"/>
        <v>7001.7081200000002</v>
      </c>
      <c r="BE261" s="1">
        <f t="shared" si="297"/>
        <v>5728.6702800000003</v>
      </c>
      <c r="BF261" s="1">
        <v>0</v>
      </c>
      <c r="BG261" s="1">
        <v>0</v>
      </c>
      <c r="BH261" s="1">
        <v>0</v>
      </c>
      <c r="BI261" s="1">
        <f t="shared" si="328"/>
        <v>7638.2270399999998</v>
      </c>
      <c r="BJ261" s="1">
        <f t="shared" si="329"/>
        <v>6365.1891999999998</v>
      </c>
      <c r="BK261" s="1">
        <f t="shared" si="330"/>
        <v>6046.9297399999996</v>
      </c>
      <c r="BL261" s="1">
        <f t="shared" si="331"/>
        <v>6365.1891999999998</v>
      </c>
      <c r="BM261" s="1">
        <f>4210+2833.94142857143*1.02</f>
        <v>7100.6202571428585</v>
      </c>
      <c r="BN261" s="1">
        <f t="shared" si="332"/>
        <v>6365.1891999999998</v>
      </c>
      <c r="BO261" s="1">
        <f t="shared" si="333"/>
        <v>0</v>
      </c>
      <c r="BP261" s="1">
        <f t="shared" si="337"/>
        <v>16253.754000000004</v>
      </c>
      <c r="BQ261" s="22">
        <f t="shared" si="336"/>
        <v>1.1043584761218104</v>
      </c>
    </row>
    <row r="262" spans="1:69" ht="20.100000000000001" customHeight="1" x14ac:dyDescent="0.2">
      <c r="A262" s="17">
        <f t="shared" si="281"/>
        <v>260</v>
      </c>
      <c r="B262" s="24" t="s">
        <v>363</v>
      </c>
      <c r="C262" s="18" t="s">
        <v>64</v>
      </c>
      <c r="D262" s="19" t="s">
        <v>364</v>
      </c>
      <c r="E262" s="18" t="s">
        <v>347</v>
      </c>
      <c r="F262" s="8">
        <f>830+H262</f>
        <v>8365.3499999999913</v>
      </c>
      <c r="G262" s="24">
        <v>360</v>
      </c>
      <c r="H262" s="12">
        <f>2511.78333333333*3</f>
        <v>7535.3499999999904</v>
      </c>
      <c r="I262" s="24">
        <v>0</v>
      </c>
      <c r="J262" s="2">
        <f t="shared" si="301"/>
        <v>456.78547199999997</v>
      </c>
      <c r="K262" s="21" t="s">
        <v>307</v>
      </c>
      <c r="L262" s="2">
        <v>351.37343999999996</v>
      </c>
      <c r="M262" s="2">
        <v>20.026000000000003</v>
      </c>
      <c r="N262" s="1">
        <f>2150.55+2511.78333333333</f>
        <v>4662.3333333333303</v>
      </c>
      <c r="O262" s="2">
        <f t="shared" si="302"/>
        <v>351.37343999999996</v>
      </c>
      <c r="P262" s="2">
        <f t="shared" si="303"/>
        <v>439.21679999999992</v>
      </c>
      <c r="Q262" s="1">
        <v>0</v>
      </c>
      <c r="R262" s="1">
        <v>0</v>
      </c>
      <c r="S262" s="2">
        <f t="shared" si="304"/>
        <v>351.37343999999996</v>
      </c>
      <c r="T262" s="1">
        <f>2462+H262</f>
        <v>9997.3499999999913</v>
      </c>
      <c r="U262" s="1"/>
      <c r="V262" s="2">
        <f>455*5.9*1.063+2511.78333333333*1.05</f>
        <v>5490.9959999999965</v>
      </c>
      <c r="W262" s="2">
        <f t="shared" si="305"/>
        <v>351.37343999999996</v>
      </c>
      <c r="X262" s="1">
        <f t="shared" si="334"/>
        <v>351.37343999999996</v>
      </c>
      <c r="Y262" s="1">
        <f t="shared" si="306"/>
        <v>351.37343999999996</v>
      </c>
      <c r="Z262" s="1">
        <f>1454+H262*0.373</f>
        <v>4264.6855499999965</v>
      </c>
      <c r="AA262" s="1">
        <f t="shared" si="307"/>
        <v>333.80476799999997</v>
      </c>
      <c r="AB262" s="1">
        <f t="shared" si="308"/>
        <v>333.80476799999997</v>
      </c>
      <c r="AC262" s="1">
        <v>0</v>
      </c>
      <c r="AD262" s="1">
        <v>0</v>
      </c>
      <c r="AE262" s="1">
        <f t="shared" si="309"/>
        <v>351.37343999999996</v>
      </c>
      <c r="AF262" s="1">
        <f t="shared" si="310"/>
        <v>351.37343999999996</v>
      </c>
      <c r="AG262" s="1">
        <v>0</v>
      </c>
      <c r="AH262" s="2">
        <f t="shared" si="338"/>
        <v>11130.489999999987</v>
      </c>
      <c r="AI262" s="1">
        <f t="shared" si="312"/>
        <v>386.510784</v>
      </c>
      <c r="AJ262" s="2">
        <f t="shared" si="313"/>
        <v>351.37343999999996</v>
      </c>
      <c r="AK262" s="1">
        <f t="shared" si="314"/>
        <v>477.8678784</v>
      </c>
      <c r="AL262" s="1">
        <f t="shared" si="315"/>
        <v>351.37343999999996</v>
      </c>
      <c r="AM262" s="1">
        <f t="shared" si="316"/>
        <v>351.37343999999996</v>
      </c>
      <c r="AN262" s="1">
        <f t="shared" si="317"/>
        <v>351.37343999999996</v>
      </c>
      <c r="AO262" s="1">
        <f t="shared" si="318"/>
        <v>351.37343999999996</v>
      </c>
      <c r="AP262" s="1">
        <f t="shared" si="319"/>
        <v>281.09875199999999</v>
      </c>
      <c r="AQ262" s="1">
        <f t="shared" si="320"/>
        <v>351.37343999999996</v>
      </c>
      <c r="AR262" s="2">
        <f t="shared" si="339"/>
        <v>7950.3499999999913</v>
      </c>
      <c r="AS262" s="1">
        <f t="shared" si="322"/>
        <v>50.065000000000012</v>
      </c>
      <c r="AT262" s="1">
        <f t="shared" si="323"/>
        <v>351.37343999999996</v>
      </c>
      <c r="AU262" s="1">
        <v>370.96470536400005</v>
      </c>
      <c r="AV262" s="1">
        <f t="shared" si="324"/>
        <v>22.028600000000004</v>
      </c>
      <c r="AW262" s="1">
        <f t="shared" si="325"/>
        <v>351.37343999999996</v>
      </c>
      <c r="AX262" s="1">
        <f t="shared" si="326"/>
        <v>333.80476799999997</v>
      </c>
      <c r="AY262" s="1">
        <f t="shared" si="327"/>
        <v>309.20862719999997</v>
      </c>
      <c r="AZ262" s="1">
        <v>0</v>
      </c>
      <c r="BA262" s="1">
        <v>0</v>
      </c>
      <c r="BB262" s="1">
        <v>0</v>
      </c>
      <c r="BC262" s="1">
        <f t="shared" si="295"/>
        <v>351.37343999999996</v>
      </c>
      <c r="BD262" s="1">
        <f t="shared" si="296"/>
        <v>386.510784</v>
      </c>
      <c r="BE262" s="1">
        <f t="shared" si="297"/>
        <v>316.23609599999997</v>
      </c>
      <c r="BF262" s="1">
        <v>0</v>
      </c>
      <c r="BG262" s="1">
        <v>0</v>
      </c>
      <c r="BH262" s="1">
        <v>0</v>
      </c>
      <c r="BI262" s="1">
        <f t="shared" si="328"/>
        <v>421.64812799999993</v>
      </c>
      <c r="BJ262" s="1">
        <f t="shared" si="329"/>
        <v>351.37343999999996</v>
      </c>
      <c r="BK262" s="2">
        <f t="shared" si="330"/>
        <v>333.80476799999997</v>
      </c>
      <c r="BL262" s="1">
        <f t="shared" si="331"/>
        <v>351.37343999999996</v>
      </c>
      <c r="BM262" s="1">
        <f>381+2511.78333333333*1.02</f>
        <v>2943.0189999999966</v>
      </c>
      <c r="BN262" s="1">
        <f t="shared" si="332"/>
        <v>351.37343999999996</v>
      </c>
      <c r="BO262" s="2">
        <f t="shared" si="333"/>
        <v>0</v>
      </c>
      <c r="BP262" s="2">
        <f t="shared" si="337"/>
        <v>11130.489999999987</v>
      </c>
      <c r="BQ262" s="22">
        <f t="shared" si="336"/>
        <v>1.3305468390443913</v>
      </c>
    </row>
    <row r="263" spans="1:69" ht="20.100000000000001" customHeight="1" x14ac:dyDescent="0.2">
      <c r="A263" s="17">
        <f t="shared" si="281"/>
        <v>261</v>
      </c>
      <c r="B263" s="24" t="s">
        <v>365</v>
      </c>
      <c r="C263" s="18" t="s">
        <v>64</v>
      </c>
      <c r="D263" s="26" t="s">
        <v>366</v>
      </c>
      <c r="E263" s="18" t="s">
        <v>347</v>
      </c>
      <c r="F263" s="8">
        <f>3308+H263</f>
        <v>16141.130000000001</v>
      </c>
      <c r="G263" s="24">
        <v>360</v>
      </c>
      <c r="H263" s="12">
        <f>4277.71*3</f>
        <v>12833.130000000001</v>
      </c>
      <c r="I263" s="24">
        <v>0</v>
      </c>
      <c r="J263" s="2">
        <f t="shared" si="301"/>
        <v>2265.6474880000001</v>
      </c>
      <c r="K263" s="21" t="s">
        <v>307</v>
      </c>
      <c r="L263" s="1">
        <v>1742.80576</v>
      </c>
      <c r="M263" s="2">
        <v>50.065000000000005</v>
      </c>
      <c r="N263" s="1">
        <f>2150.55+4277.71</f>
        <v>6428.26</v>
      </c>
      <c r="O263" s="2">
        <f t="shared" si="302"/>
        <v>1742.80576</v>
      </c>
      <c r="P263" s="2">
        <f t="shared" si="303"/>
        <v>2178.5072</v>
      </c>
      <c r="Q263" s="1">
        <v>0</v>
      </c>
      <c r="R263" s="1">
        <v>0</v>
      </c>
      <c r="S263" s="2">
        <f t="shared" si="304"/>
        <v>1742.80576</v>
      </c>
      <c r="T263" s="1">
        <f>1726+H263</f>
        <v>14559.130000000001</v>
      </c>
      <c r="U263" s="1"/>
      <c r="V263" s="2">
        <f>455*5.9*1.063+4277.71*1.05</f>
        <v>7345.2190000000001</v>
      </c>
      <c r="W263" s="2">
        <f t="shared" si="305"/>
        <v>1742.80576</v>
      </c>
      <c r="X263" s="1">
        <f t="shared" si="334"/>
        <v>1742.80576</v>
      </c>
      <c r="Y263" s="1">
        <f t="shared" si="306"/>
        <v>1742.80576</v>
      </c>
      <c r="Z263" s="1">
        <f>1093+H263*0.373</f>
        <v>5879.75749</v>
      </c>
      <c r="AA263" s="1">
        <f t="shared" si="307"/>
        <v>1655.6654719999999</v>
      </c>
      <c r="AB263" s="1">
        <f t="shared" si="308"/>
        <v>1655.6654719999999</v>
      </c>
      <c r="AC263" s="1">
        <v>0</v>
      </c>
      <c r="AD263" s="1">
        <v>0</v>
      </c>
      <c r="AE263" s="1">
        <f t="shared" si="309"/>
        <v>1742.80576</v>
      </c>
      <c r="AF263" s="1">
        <f t="shared" si="310"/>
        <v>1742.80576</v>
      </c>
      <c r="AG263" s="1">
        <v>0</v>
      </c>
      <c r="AH263" s="2">
        <f t="shared" si="338"/>
        <v>20281.982</v>
      </c>
      <c r="AI263" s="1">
        <f t="shared" si="312"/>
        <v>1917.0863360000001</v>
      </c>
      <c r="AJ263" s="2">
        <f t="shared" si="313"/>
        <v>1742.80576</v>
      </c>
      <c r="AK263" s="1">
        <f t="shared" si="314"/>
        <v>2370.2158336000002</v>
      </c>
      <c r="AL263" s="1">
        <f t="shared" si="315"/>
        <v>1742.80576</v>
      </c>
      <c r="AM263" s="1">
        <f t="shared" si="316"/>
        <v>1742.80576</v>
      </c>
      <c r="AN263" s="1">
        <f t="shared" si="317"/>
        <v>1742.80576</v>
      </c>
      <c r="AO263" s="1">
        <f t="shared" si="318"/>
        <v>1742.80576</v>
      </c>
      <c r="AP263" s="1">
        <f t="shared" si="319"/>
        <v>1394.244608</v>
      </c>
      <c r="AQ263" s="1">
        <f t="shared" si="320"/>
        <v>1742.80576</v>
      </c>
      <c r="AR263" s="2">
        <f t="shared" si="339"/>
        <v>14487.130000000001</v>
      </c>
      <c r="AS263" s="1">
        <f t="shared" si="322"/>
        <v>125.16250000000001</v>
      </c>
      <c r="AT263" s="1">
        <f t="shared" si="323"/>
        <v>1742.80576</v>
      </c>
      <c r="AU263" s="1">
        <v>1839.9780736560001</v>
      </c>
      <c r="AV263" s="1">
        <f t="shared" si="324"/>
        <v>55.071500000000007</v>
      </c>
      <c r="AW263" s="1">
        <f t="shared" si="325"/>
        <v>1742.80576</v>
      </c>
      <c r="AX263" s="1">
        <f t="shared" si="326"/>
        <v>1655.6654719999999</v>
      </c>
      <c r="AY263" s="1">
        <f t="shared" si="327"/>
        <v>1533.6690687999999</v>
      </c>
      <c r="AZ263" s="1">
        <v>0</v>
      </c>
      <c r="BA263" s="1">
        <v>0</v>
      </c>
      <c r="BB263" s="1">
        <v>0</v>
      </c>
      <c r="BC263" s="1">
        <f t="shared" si="295"/>
        <v>1742.80576</v>
      </c>
      <c r="BD263" s="1">
        <f t="shared" si="296"/>
        <v>1917.0863360000001</v>
      </c>
      <c r="BE263" s="1">
        <f t="shared" si="297"/>
        <v>1568.5251840000001</v>
      </c>
      <c r="BF263" s="1">
        <v>0</v>
      </c>
      <c r="BG263" s="1">
        <v>0</v>
      </c>
      <c r="BH263" s="1">
        <v>0</v>
      </c>
      <c r="BI263" s="1">
        <f t="shared" si="328"/>
        <v>2091.366912</v>
      </c>
      <c r="BJ263" s="1">
        <f t="shared" si="329"/>
        <v>1742.80576</v>
      </c>
      <c r="BK263" s="2">
        <f t="shared" si="330"/>
        <v>1655.6654719999999</v>
      </c>
      <c r="BL263" s="1">
        <f t="shared" si="331"/>
        <v>1742.80576</v>
      </c>
      <c r="BM263" s="1">
        <f>957+4277.71*1.02</f>
        <v>5320.2642000000005</v>
      </c>
      <c r="BN263" s="1">
        <f t="shared" si="332"/>
        <v>1742.80576</v>
      </c>
      <c r="BO263" s="2">
        <f t="shared" si="333"/>
        <v>0</v>
      </c>
      <c r="BP263" s="2">
        <f t="shared" si="337"/>
        <v>20281.982</v>
      </c>
      <c r="BQ263" s="22">
        <f t="shared" si="336"/>
        <v>1.2565404033050969</v>
      </c>
    </row>
    <row r="264" spans="1:69" ht="20.100000000000001" customHeight="1" x14ac:dyDescent="0.2">
      <c r="A264" s="17">
        <f t="shared" si="281"/>
        <v>262</v>
      </c>
      <c r="B264" s="24">
        <v>29806</v>
      </c>
      <c r="C264" s="18" t="s">
        <v>64</v>
      </c>
      <c r="D264" s="26" t="s">
        <v>367</v>
      </c>
      <c r="E264" s="18" t="s">
        <v>347</v>
      </c>
      <c r="F264" s="8">
        <f>8994+H264</f>
        <v>19724.420000000009</v>
      </c>
      <c r="G264" s="24">
        <v>360</v>
      </c>
      <c r="H264" s="11">
        <f>3576.80666666667*3</f>
        <v>10730.420000000009</v>
      </c>
      <c r="I264" s="24">
        <v>0</v>
      </c>
      <c r="J264" s="2">
        <f t="shared" si="301"/>
        <v>8274.7459600000002</v>
      </c>
      <c r="K264" s="21" t="s">
        <v>307</v>
      </c>
      <c r="L264" s="2">
        <v>6365.1891999999998</v>
      </c>
      <c r="M264" s="2">
        <v>31.040300000000002</v>
      </c>
      <c r="N264" s="1">
        <f>3341.55+3576.80666666667</f>
        <v>6918.3566666666702</v>
      </c>
      <c r="O264" s="1">
        <f t="shared" si="302"/>
        <v>6365.1891999999998</v>
      </c>
      <c r="P264" s="2">
        <f t="shared" si="303"/>
        <v>7956.4865</v>
      </c>
      <c r="Q264" s="1">
        <v>0</v>
      </c>
      <c r="R264" s="1">
        <v>0</v>
      </c>
      <c r="S264" s="2">
        <f t="shared" si="304"/>
        <v>6365.1891999999998</v>
      </c>
      <c r="T264" s="1">
        <f>3436+H264</f>
        <v>14166.420000000009</v>
      </c>
      <c r="U264" s="1"/>
      <c r="V264" s="1">
        <f>520*5.9*1.063+3576.80666666667*1.05</f>
        <v>7016.9310000000032</v>
      </c>
      <c r="W264" s="2">
        <f t="shared" si="305"/>
        <v>6365.1891999999998</v>
      </c>
      <c r="X264" s="1">
        <f t="shared" si="334"/>
        <v>6365.1891999999998</v>
      </c>
      <c r="Y264" s="1">
        <f t="shared" si="306"/>
        <v>6365.1891999999998</v>
      </c>
      <c r="Z264" s="1">
        <f>1820+H264*0.373</f>
        <v>5822.4466600000032</v>
      </c>
      <c r="AA264" s="1">
        <f t="shared" si="307"/>
        <v>6046.9297399999996</v>
      </c>
      <c r="AB264" s="1">
        <f t="shared" si="308"/>
        <v>6046.9297399999996</v>
      </c>
      <c r="AC264" s="1">
        <v>0</v>
      </c>
      <c r="AD264" s="1">
        <v>0</v>
      </c>
      <c r="AE264" s="1">
        <f t="shared" si="309"/>
        <v>6365.1891999999998</v>
      </c>
      <c r="AF264" s="1">
        <f t="shared" si="310"/>
        <v>6365.1891999999998</v>
      </c>
      <c r="AG264" s="1">
        <v>0</v>
      </c>
      <c r="AH264" s="1">
        <f t="shared" si="338"/>
        <v>21318.388000000014</v>
      </c>
      <c r="AI264" s="1">
        <f t="shared" si="312"/>
        <v>7001.7081200000002</v>
      </c>
      <c r="AJ264" s="2">
        <f t="shared" si="313"/>
        <v>6365.1891999999998</v>
      </c>
      <c r="AK264" s="1">
        <f t="shared" si="314"/>
        <v>8656.6573120000012</v>
      </c>
      <c r="AL264" s="1">
        <f t="shared" si="315"/>
        <v>6365.1891999999998</v>
      </c>
      <c r="AM264" s="1">
        <f t="shared" si="316"/>
        <v>6365.1891999999998</v>
      </c>
      <c r="AN264" s="1">
        <f t="shared" si="317"/>
        <v>6365.1891999999998</v>
      </c>
      <c r="AO264" s="1">
        <f t="shared" si="318"/>
        <v>6365.1891999999998</v>
      </c>
      <c r="AP264" s="1">
        <f t="shared" si="319"/>
        <v>5092.1513599999998</v>
      </c>
      <c r="AQ264" s="1">
        <f t="shared" si="320"/>
        <v>6365.1891999999998</v>
      </c>
      <c r="AR264" s="1">
        <f t="shared" si="339"/>
        <v>15227.420000000009</v>
      </c>
      <c r="AS264" s="1">
        <f t="shared" si="322"/>
        <v>77.600750000000005</v>
      </c>
      <c r="AT264" s="1">
        <f t="shared" si="323"/>
        <v>6365.1891999999998</v>
      </c>
      <c r="AU264" s="1">
        <v>6720.0882803325003</v>
      </c>
      <c r="AV264" s="1">
        <f t="shared" si="324"/>
        <v>34.144330000000004</v>
      </c>
      <c r="AW264" s="1">
        <f t="shared" si="325"/>
        <v>6365.1891999999998</v>
      </c>
      <c r="AX264" s="1">
        <f t="shared" si="326"/>
        <v>6046.9297399999996</v>
      </c>
      <c r="AY264" s="1">
        <f t="shared" si="327"/>
        <v>5601.3664959999996</v>
      </c>
      <c r="AZ264" s="1">
        <v>0</v>
      </c>
      <c r="BA264" s="1">
        <v>0</v>
      </c>
      <c r="BB264" s="1">
        <v>0</v>
      </c>
      <c r="BC264" s="1">
        <f t="shared" si="295"/>
        <v>6365.1891999999998</v>
      </c>
      <c r="BD264" s="1">
        <f t="shared" si="296"/>
        <v>7001.7081200000002</v>
      </c>
      <c r="BE264" s="1">
        <f t="shared" si="297"/>
        <v>5728.6702800000003</v>
      </c>
      <c r="BF264" s="1">
        <v>0</v>
      </c>
      <c r="BG264" s="1">
        <v>0</v>
      </c>
      <c r="BH264" s="1">
        <v>0</v>
      </c>
      <c r="BI264" s="1">
        <f t="shared" si="328"/>
        <v>7638.2270399999998</v>
      </c>
      <c r="BJ264" s="1">
        <f t="shared" si="329"/>
        <v>6365.1891999999998</v>
      </c>
      <c r="BK264" s="2">
        <f t="shared" si="330"/>
        <v>6046.9297399999996</v>
      </c>
      <c r="BL264" s="1">
        <f t="shared" si="331"/>
        <v>6365.1891999999998</v>
      </c>
      <c r="BM264" s="1">
        <f>5960+3576.80666666667*1.02</f>
        <v>9608.342800000004</v>
      </c>
      <c r="BN264" s="1">
        <f t="shared" si="332"/>
        <v>6365.1891999999998</v>
      </c>
      <c r="BO264" s="2">
        <f t="shared" si="333"/>
        <v>0</v>
      </c>
      <c r="BP264" s="2">
        <f t="shared" si="337"/>
        <v>21318.388000000014</v>
      </c>
      <c r="BQ264" s="22">
        <f t="shared" si="336"/>
        <v>1.0808119072702773</v>
      </c>
    </row>
    <row r="265" spans="1:69" ht="20.100000000000001" customHeight="1" x14ac:dyDescent="0.2">
      <c r="A265" s="17">
        <f t="shared" si="281"/>
        <v>263</v>
      </c>
      <c r="B265" s="17">
        <v>90913</v>
      </c>
      <c r="C265" s="24">
        <v>4209091300</v>
      </c>
      <c r="D265" s="19" t="s">
        <v>368</v>
      </c>
      <c r="E265" s="24" t="s">
        <v>186</v>
      </c>
      <c r="F265" s="33">
        <v>106.65</v>
      </c>
      <c r="G265" s="24">
        <v>420</v>
      </c>
      <c r="H265" s="12">
        <v>0</v>
      </c>
      <c r="I265" s="24">
        <v>0</v>
      </c>
      <c r="J265" s="2">
        <f t="shared" si="301"/>
        <v>32.716216000000003</v>
      </c>
      <c r="K265" s="21" t="s">
        <v>187</v>
      </c>
      <c r="L265" s="2">
        <v>25.166319999999999</v>
      </c>
      <c r="M265" s="2">
        <v>0</v>
      </c>
      <c r="N265" s="2" t="str">
        <f>CONCATENATE(ROUND(23.99*1.8,2)," ",K265)</f>
        <v>43.18 Per 15 minutes</v>
      </c>
      <c r="O265" s="2" t="str">
        <f>CONCATENATE(ROUND(L265,2)," ",K265)</f>
        <v>25.17 Per 15 minutes</v>
      </c>
      <c r="P265" s="1" t="s">
        <v>188</v>
      </c>
      <c r="Q265" s="2" t="str">
        <f>CONCATENATE(ROUND(L265,2)," ",K265)</f>
        <v>25.17 Per 15 minutes</v>
      </c>
      <c r="R265" s="2" t="str">
        <f>CONCATENATE(ROUND(L265*1.1,2)," ",K265)</f>
        <v>27.68 Per 15 minutes</v>
      </c>
      <c r="S265" s="2" t="str">
        <f>CONCATENATE(ROUND(L265,2)," ",K265)</f>
        <v>25.17 Per 15 minutes</v>
      </c>
      <c r="T265" s="1" t="s">
        <v>411</v>
      </c>
      <c r="U265" s="1"/>
      <c r="V265" s="1" t="s">
        <v>412</v>
      </c>
      <c r="W265" s="2" t="str">
        <f>CONCATENATE(ROUND(L265,2)," ",K265)</f>
        <v>25.17 Per 15 minutes</v>
      </c>
      <c r="X265" s="2" t="str">
        <f>CONCATENATE(ROUND(L265,2)," ",K265)</f>
        <v>25.17 Per 15 minutes</v>
      </c>
      <c r="Y265" s="2" t="str">
        <f>CONCATENATE(ROUND(L265,2)," ",K265)</f>
        <v>25.17 Per 15 minutes</v>
      </c>
      <c r="Z265" s="1" t="s">
        <v>189</v>
      </c>
      <c r="AA265" s="2" t="str">
        <f>CONCATENATE(ROUND(L265*0.95,2)," ",K265)</f>
        <v>23.91 Per 15 minutes</v>
      </c>
      <c r="AB265" s="2" t="str">
        <f>CONCATENATE(ROUND(L265*0.95,2)," ",K265)</f>
        <v>23.91 Per 15 minutes</v>
      </c>
      <c r="AC265" s="2" t="str">
        <f>CONCATENATE(ROUND(L265,2)," ",K265)</f>
        <v>25.17 Per 15 minutes</v>
      </c>
      <c r="AD265" s="2" t="str">
        <f>CONCATENATE(ROUND(L265*1.05,2)," ",K265)</f>
        <v>26.42 Per 15 minutes</v>
      </c>
      <c r="AE265" s="2" t="str">
        <f>CONCATENATE(ROUND(L265,2)," ",K265)</f>
        <v>25.17 Per 15 minutes</v>
      </c>
      <c r="AF265" s="2" t="str">
        <f>CONCATENATE(ROUND(L265,2)," ",K265)</f>
        <v>25.17 Per 15 minutes</v>
      </c>
      <c r="AG265" s="2" t="str">
        <f>CONCATENATE(ROUND(L265*0.92,2)," ",K265)</f>
        <v>23.15 Per 15 minutes</v>
      </c>
      <c r="AH265" s="2">
        <f>F265*0.7</f>
        <v>74.655000000000001</v>
      </c>
      <c r="AI265" s="1" t="s">
        <v>190</v>
      </c>
      <c r="AJ265" s="1" t="s">
        <v>190</v>
      </c>
      <c r="AK265" s="1" t="s">
        <v>191</v>
      </c>
      <c r="AL265" s="2" t="str">
        <f>CONCATENATE(ROUND(L265,2)," ",K265)</f>
        <v>25.17 Per 15 minutes</v>
      </c>
      <c r="AM265" s="2" t="str">
        <f>CONCATENATE(ROUND(L265,2)," ",K265)</f>
        <v>25.17 Per 15 minutes</v>
      </c>
      <c r="AN265" s="1" t="s">
        <v>192</v>
      </c>
      <c r="AO265" s="1" t="s">
        <v>192</v>
      </c>
      <c r="AP265" s="1" t="s">
        <v>193</v>
      </c>
      <c r="AQ265" s="1" t="s">
        <v>194</v>
      </c>
      <c r="AR265" s="1" t="s">
        <v>63</v>
      </c>
      <c r="AS265" s="1" t="s">
        <v>195</v>
      </c>
      <c r="AT265" s="1" t="s">
        <v>195</v>
      </c>
      <c r="AU265" s="1">
        <v>158.3634375</v>
      </c>
      <c r="AV265" s="2" t="str">
        <f>CONCATENATE(ROUND(M265*1.1,2)," ",K265)</f>
        <v>0 Per 15 minutes</v>
      </c>
      <c r="AW265" s="2" t="str">
        <f>CONCATENATE(ROUND(L265,2)," ",K265)</f>
        <v>25.17 Per 15 minutes</v>
      </c>
      <c r="AX265" s="2" t="str">
        <f>CONCATENATE(ROUND(L265*0.95,2)," ",K265)</f>
        <v>23.91 Per 15 minutes</v>
      </c>
      <c r="AY265" s="2" t="str">
        <f>CONCATENATE(ROUND(L265*0.88,2)," ",K265)</f>
        <v>22.15 Per 15 minutes</v>
      </c>
      <c r="AZ265" s="2" t="s">
        <v>196</v>
      </c>
      <c r="BA265" s="1" t="s">
        <v>198</v>
      </c>
      <c r="BB265" s="1" t="s">
        <v>198</v>
      </c>
      <c r="BC265" s="2">
        <v>0</v>
      </c>
      <c r="BD265" s="2">
        <v>0</v>
      </c>
      <c r="BE265" s="2">
        <v>0</v>
      </c>
      <c r="BF265" s="1" t="s">
        <v>199</v>
      </c>
      <c r="BG265" s="2" t="str">
        <f>CONCATENATE(ROUND(L265,2)," ",K265)</f>
        <v>25.17 Per 15 minutes</v>
      </c>
      <c r="BH265" s="2" t="str">
        <f>CONCATENATE(ROUND(L265*0.95,2)," ",K265)</f>
        <v>23.91 Per 15 minutes</v>
      </c>
      <c r="BI265" s="1" t="s">
        <v>63</v>
      </c>
      <c r="BJ265" s="1" t="s">
        <v>63</v>
      </c>
      <c r="BK265" s="2" t="str">
        <f>CONCATENATE(ROUND(L265*0.95,2)," ",K265)</f>
        <v>23.91 Per 15 minutes</v>
      </c>
      <c r="BL265" s="2" t="str">
        <f>CONCATENATE(ROUND(L265,2)," ",K265)</f>
        <v>25.17 Per 15 minutes</v>
      </c>
      <c r="BM265" s="1" t="s">
        <v>200</v>
      </c>
      <c r="BN265" s="1" t="s">
        <v>198</v>
      </c>
      <c r="BO265" s="2">
        <f t="shared" si="333"/>
        <v>0</v>
      </c>
      <c r="BP265" s="2" t="s">
        <v>201</v>
      </c>
      <c r="BQ265" s="22"/>
    </row>
    <row r="266" spans="1:69" ht="20.100000000000001" customHeight="1" x14ac:dyDescent="0.2">
      <c r="A266" s="17">
        <f t="shared" si="281"/>
        <v>264</v>
      </c>
      <c r="B266" s="17">
        <v>92548</v>
      </c>
      <c r="C266" s="24">
        <v>4209254800</v>
      </c>
      <c r="D266" s="19" t="s">
        <v>369</v>
      </c>
      <c r="E266" s="24" t="s">
        <v>186</v>
      </c>
      <c r="F266" s="33">
        <v>227</v>
      </c>
      <c r="G266" s="24">
        <v>420</v>
      </c>
      <c r="H266" s="12">
        <v>0</v>
      </c>
      <c r="I266" s="24">
        <v>0</v>
      </c>
      <c r="J266" s="2">
        <f t="shared" si="301"/>
        <v>153.35808800000001</v>
      </c>
      <c r="K266" s="21" t="s">
        <v>91</v>
      </c>
      <c r="L266" s="2">
        <v>117.96776</v>
      </c>
      <c r="M266" s="2">
        <v>0</v>
      </c>
      <c r="N266" s="2" t="str">
        <f>CONCATENATE(ROUND(75.99*1.8,2)," ",K266)</f>
        <v xml:space="preserve">136.78 Per Visit </v>
      </c>
      <c r="O266" s="2" t="str">
        <f>CONCATENATE(ROUND(L266,2)," ",K266)</f>
        <v xml:space="preserve">117.97 Per Visit </v>
      </c>
      <c r="P266" s="1" t="s">
        <v>188</v>
      </c>
      <c r="Q266" s="2" t="str">
        <f>CONCATENATE(ROUND(L266,2)," ",K266)</f>
        <v xml:space="preserve">117.97 Per Visit </v>
      </c>
      <c r="R266" s="2" t="str">
        <f>CONCATENATE(ROUND(L266*1.1,2)," ",K266)</f>
        <v xml:space="preserve">129.76 Per Visit </v>
      </c>
      <c r="S266" s="2" t="str">
        <f>CONCATENATE(ROUND(L266,2)," ",K266)</f>
        <v xml:space="preserve">117.97 Per Visit </v>
      </c>
      <c r="T266" s="1" t="s">
        <v>411</v>
      </c>
      <c r="U266" s="1"/>
      <c r="V266" s="1" t="s">
        <v>412</v>
      </c>
      <c r="W266" s="2" t="str">
        <f>CONCATENATE(ROUND(L266,2)," ",K266)</f>
        <v xml:space="preserve">117.97 Per Visit </v>
      </c>
      <c r="X266" s="2" t="str">
        <f>CONCATENATE(ROUND(L266,2)," ",K266)</f>
        <v xml:space="preserve">117.97 Per Visit </v>
      </c>
      <c r="Y266" s="2" t="str">
        <f>CONCATENATE(ROUND(L266,2)," ",K266)</f>
        <v xml:space="preserve">117.97 Per Visit </v>
      </c>
      <c r="Z266" s="1" t="s">
        <v>189</v>
      </c>
      <c r="AA266" s="2" t="str">
        <f>CONCATENATE(ROUND(L266*0.95,2)," ",K266)</f>
        <v xml:space="preserve">112.07 Per Visit </v>
      </c>
      <c r="AB266" s="2" t="str">
        <f>CONCATENATE(ROUND(L266*0.95,2)," ",K266)</f>
        <v xml:space="preserve">112.07 Per Visit </v>
      </c>
      <c r="AC266" s="2" t="str">
        <f>CONCATENATE(ROUND(L266,2)," ",K266)</f>
        <v xml:space="preserve">117.97 Per Visit </v>
      </c>
      <c r="AD266" s="2" t="str">
        <f>CONCATENATE(ROUND(L266*1.05,2)," ",K266)</f>
        <v xml:space="preserve">123.87 Per Visit </v>
      </c>
      <c r="AE266" s="2" t="str">
        <f>CONCATENATE(ROUND(L266,2)," ",K266)</f>
        <v xml:space="preserve">117.97 Per Visit </v>
      </c>
      <c r="AF266" s="2" t="str">
        <f>CONCATENATE(ROUND(L266,2)," ",K266)</f>
        <v xml:space="preserve">117.97 Per Visit </v>
      </c>
      <c r="AG266" s="2" t="str">
        <f>CONCATENATE(ROUND(L266*0.92,2)," ",K266)</f>
        <v xml:space="preserve">108.53 Per Visit </v>
      </c>
      <c r="AH266" s="2">
        <f>F266*0.7</f>
        <v>158.89999999999998</v>
      </c>
      <c r="AI266" s="1" t="s">
        <v>190</v>
      </c>
      <c r="AJ266" s="1" t="s">
        <v>190</v>
      </c>
      <c r="AK266" s="1" t="s">
        <v>191</v>
      </c>
      <c r="AL266" s="2" t="str">
        <f>CONCATENATE(ROUND(L266,2)," ",K266)</f>
        <v xml:space="preserve">117.97 Per Visit </v>
      </c>
      <c r="AM266" s="2" t="str">
        <f>CONCATENATE(ROUND(L266,2)," ",K266)</f>
        <v xml:space="preserve">117.97 Per Visit </v>
      </c>
      <c r="AN266" s="1" t="s">
        <v>192</v>
      </c>
      <c r="AO266" s="1" t="s">
        <v>192</v>
      </c>
      <c r="AP266" s="1" t="s">
        <v>193</v>
      </c>
      <c r="AQ266" s="1" t="s">
        <v>194</v>
      </c>
      <c r="AR266" s="1" t="s">
        <v>63</v>
      </c>
      <c r="AS266" s="1" t="s">
        <v>195</v>
      </c>
      <c r="AT266" s="1" t="s">
        <v>195</v>
      </c>
      <c r="AU266" s="1">
        <v>158.3634375</v>
      </c>
      <c r="AV266" s="2" t="str">
        <f>CONCATENATE(ROUND(M266*1.1,2)," ",K266)</f>
        <v xml:space="preserve">0 Per Visit </v>
      </c>
      <c r="AW266" s="2" t="str">
        <f>CONCATENATE(ROUND(L266,2)," ",K266)</f>
        <v xml:space="preserve">117.97 Per Visit </v>
      </c>
      <c r="AX266" s="2" t="str">
        <f>CONCATENATE(ROUND(L266*0.95,2)," ",K266)</f>
        <v xml:space="preserve">112.07 Per Visit </v>
      </c>
      <c r="AY266" s="2" t="str">
        <f>CONCATENATE(ROUND(L266*0.88,2)," ",K266)</f>
        <v xml:space="preserve">103.81 Per Visit </v>
      </c>
      <c r="AZ266" s="2" t="s">
        <v>196</v>
      </c>
      <c r="BA266" s="1" t="s">
        <v>198</v>
      </c>
      <c r="BB266" s="1" t="s">
        <v>198</v>
      </c>
      <c r="BC266" s="2">
        <v>0</v>
      </c>
      <c r="BD266" s="2">
        <v>0</v>
      </c>
      <c r="BE266" s="2">
        <v>0</v>
      </c>
      <c r="BF266" s="1" t="s">
        <v>199</v>
      </c>
      <c r="BG266" s="2" t="str">
        <f>CONCATENATE(ROUND(L266,2)," ",K266)</f>
        <v xml:space="preserve">117.97 Per Visit </v>
      </c>
      <c r="BH266" s="2" t="str">
        <f>CONCATENATE(ROUND(L266*0.95,2)," ",K266)</f>
        <v xml:space="preserve">112.07 Per Visit </v>
      </c>
      <c r="BI266" s="1" t="s">
        <v>63</v>
      </c>
      <c r="BJ266" s="1" t="s">
        <v>63</v>
      </c>
      <c r="BK266" s="2" t="str">
        <f>CONCATENATE(ROUND(L266*0.95,2)," ",K266)</f>
        <v xml:space="preserve">112.07 Per Visit </v>
      </c>
      <c r="BL266" s="2" t="str">
        <f>CONCATENATE(ROUND(L266,2)," ",K266)</f>
        <v xml:space="preserve">117.97 Per Visit </v>
      </c>
      <c r="BM266" s="1" t="s">
        <v>200</v>
      </c>
      <c r="BN266" s="1" t="s">
        <v>198</v>
      </c>
      <c r="BO266" s="2">
        <f>MIN(N266:BN266)</f>
        <v>0</v>
      </c>
      <c r="BP266" s="2" t="s">
        <v>201</v>
      </c>
      <c r="BQ266" s="22"/>
    </row>
    <row r="267" spans="1:69" ht="20.100000000000001" customHeight="1" x14ac:dyDescent="0.2">
      <c r="A267" s="17">
        <f t="shared" ref="A267:A302" si="340">A266+1</f>
        <v>265</v>
      </c>
      <c r="B267" s="17">
        <v>95852</v>
      </c>
      <c r="C267" s="24">
        <v>4209585200</v>
      </c>
      <c r="D267" s="19" t="s">
        <v>370</v>
      </c>
      <c r="E267" s="24" t="s">
        <v>186</v>
      </c>
      <c r="F267" s="33">
        <v>116</v>
      </c>
      <c r="G267" s="24">
        <v>420</v>
      </c>
      <c r="H267" s="12">
        <v>0</v>
      </c>
      <c r="I267" s="24">
        <v>0</v>
      </c>
      <c r="J267" s="2">
        <f t="shared" si="301"/>
        <v>7.3172319999999997</v>
      </c>
      <c r="K267" s="21" t="s">
        <v>91</v>
      </c>
      <c r="L267" s="2">
        <v>5.6286399999999999</v>
      </c>
      <c r="M267" s="2">
        <v>9.992974000000002</v>
      </c>
      <c r="N267" s="2" t="str">
        <f>CONCATENATE(ROUND(5.35*1.8,2)," ",K267)</f>
        <v xml:space="preserve">9.63 Per Visit </v>
      </c>
      <c r="O267" s="2" t="str">
        <f>CONCATENATE(ROUND(L267,2)," ",K267)</f>
        <v xml:space="preserve">5.63 Per Visit </v>
      </c>
      <c r="P267" s="1" t="s">
        <v>188</v>
      </c>
      <c r="Q267" s="2" t="str">
        <f>CONCATENATE(ROUND(L267,2)," ",K267)</f>
        <v xml:space="preserve">5.63 Per Visit </v>
      </c>
      <c r="R267" s="2" t="str">
        <f>CONCATENATE(ROUND(L267*1.1,2)," ",K267)</f>
        <v xml:space="preserve">6.19 Per Visit </v>
      </c>
      <c r="S267" s="2" t="str">
        <f>CONCATENATE(ROUND(L267,2)," ",K267)</f>
        <v xml:space="preserve">5.63 Per Visit </v>
      </c>
      <c r="T267" s="1" t="s">
        <v>411</v>
      </c>
      <c r="U267" s="1"/>
      <c r="V267" s="1" t="s">
        <v>412</v>
      </c>
      <c r="W267" s="2" t="str">
        <f>CONCATENATE(ROUND(L267,2)," ",K267)</f>
        <v xml:space="preserve">5.63 Per Visit </v>
      </c>
      <c r="X267" s="2" t="str">
        <f>CONCATENATE(ROUND(L267,2)," ",K267)</f>
        <v xml:space="preserve">5.63 Per Visit </v>
      </c>
      <c r="Y267" s="2" t="str">
        <f>CONCATENATE(ROUND(L267,2)," ",K267)</f>
        <v xml:space="preserve">5.63 Per Visit </v>
      </c>
      <c r="Z267" s="1" t="s">
        <v>189</v>
      </c>
      <c r="AA267" s="2" t="str">
        <f>CONCATENATE(ROUND(L267*0.95,2)," ",K267)</f>
        <v xml:space="preserve">5.35 Per Visit </v>
      </c>
      <c r="AB267" s="2" t="str">
        <f>CONCATENATE(ROUND(L267*0.95,2)," ",K267)</f>
        <v xml:space="preserve">5.35 Per Visit </v>
      </c>
      <c r="AC267" s="2" t="str">
        <f>CONCATENATE(ROUND(L267,2)," ",K267)</f>
        <v xml:space="preserve">5.63 Per Visit </v>
      </c>
      <c r="AD267" s="2" t="str">
        <f>CONCATENATE(ROUND(L267*1.05,2)," ",K267)</f>
        <v xml:space="preserve">5.91 Per Visit </v>
      </c>
      <c r="AE267" s="2" t="str">
        <f>CONCATENATE(ROUND(L267,2)," ",K267)</f>
        <v xml:space="preserve">5.63 Per Visit </v>
      </c>
      <c r="AF267" s="2" t="str">
        <f>CONCATENATE(ROUND(L267,2)," ",K267)</f>
        <v xml:space="preserve">5.63 Per Visit </v>
      </c>
      <c r="AG267" s="2" t="str">
        <f>CONCATENATE(ROUND(L267*0.92,2)," ",K267)</f>
        <v xml:space="preserve">5.18 Per Visit </v>
      </c>
      <c r="AH267" s="2">
        <f>F267*0.7</f>
        <v>81.199999999999989</v>
      </c>
      <c r="AI267" s="1" t="s">
        <v>190</v>
      </c>
      <c r="AJ267" s="1" t="s">
        <v>190</v>
      </c>
      <c r="AK267" s="1" t="s">
        <v>191</v>
      </c>
      <c r="AL267" s="2" t="str">
        <f>CONCATENATE(ROUND(L267,2)," ",K267)</f>
        <v xml:space="preserve">5.63 Per Visit </v>
      </c>
      <c r="AM267" s="2" t="str">
        <f>CONCATENATE(ROUND(L267,2)," ",K267)</f>
        <v xml:space="preserve">5.63 Per Visit </v>
      </c>
      <c r="AN267" s="1" t="s">
        <v>192</v>
      </c>
      <c r="AO267" s="1" t="s">
        <v>192</v>
      </c>
      <c r="AP267" s="1" t="s">
        <v>193</v>
      </c>
      <c r="AQ267" s="1" t="s">
        <v>194</v>
      </c>
      <c r="AR267" s="1" t="s">
        <v>63</v>
      </c>
      <c r="AS267" s="1" t="s">
        <v>195</v>
      </c>
      <c r="AT267" s="1" t="s">
        <v>195</v>
      </c>
      <c r="AU267" s="1">
        <v>158.3634375</v>
      </c>
      <c r="AV267" s="2" t="str">
        <f>CONCATENATE(ROUND(M267*1.1,2)," ",K267)</f>
        <v xml:space="preserve">10.99 Per Visit </v>
      </c>
      <c r="AW267" s="2" t="str">
        <f>CONCATENATE(ROUND(L267,2)," ",K267)</f>
        <v xml:space="preserve">5.63 Per Visit </v>
      </c>
      <c r="AX267" s="2" t="str">
        <f>CONCATENATE(ROUND(L267*0.95,2)," ",K267)</f>
        <v xml:space="preserve">5.35 Per Visit </v>
      </c>
      <c r="AY267" s="2" t="str">
        <f>CONCATENATE(ROUND(L267*0.88,2)," ",K267)</f>
        <v xml:space="preserve">4.95 Per Visit </v>
      </c>
      <c r="AZ267" s="2" t="s">
        <v>196</v>
      </c>
      <c r="BA267" s="1" t="s">
        <v>198</v>
      </c>
      <c r="BB267" s="1" t="s">
        <v>198</v>
      </c>
      <c r="BC267" s="2">
        <v>0</v>
      </c>
      <c r="BD267" s="2">
        <v>0</v>
      </c>
      <c r="BE267" s="2">
        <v>0</v>
      </c>
      <c r="BF267" s="1" t="s">
        <v>199</v>
      </c>
      <c r="BG267" s="2" t="str">
        <f>CONCATENATE(ROUND(L267,2)," ",K267)</f>
        <v xml:space="preserve">5.63 Per Visit </v>
      </c>
      <c r="BH267" s="2" t="str">
        <f>CONCATENATE(ROUND(L267*0.95,2)," ",K267)</f>
        <v xml:space="preserve">5.35 Per Visit </v>
      </c>
      <c r="BI267" s="1" t="s">
        <v>63</v>
      </c>
      <c r="BJ267" s="1" t="s">
        <v>63</v>
      </c>
      <c r="BK267" s="2" t="str">
        <f>CONCATENATE(ROUND(L267*0.95,2)," ",K267)</f>
        <v xml:space="preserve">5.35 Per Visit </v>
      </c>
      <c r="BL267" s="2" t="str">
        <f>CONCATENATE(ROUND(L267,2)," ",K267)</f>
        <v xml:space="preserve">5.63 Per Visit </v>
      </c>
      <c r="BM267" s="1" t="s">
        <v>200</v>
      </c>
      <c r="BN267" s="1" t="s">
        <v>198</v>
      </c>
      <c r="BO267" s="2">
        <f>MIN(N267:BN267)</f>
        <v>0</v>
      </c>
      <c r="BP267" s="2" t="s">
        <v>201</v>
      </c>
      <c r="BQ267" s="22"/>
    </row>
    <row r="268" spans="1:69" ht="20.100000000000001" customHeight="1" x14ac:dyDescent="0.2">
      <c r="A268" s="17">
        <f t="shared" si="340"/>
        <v>266</v>
      </c>
      <c r="B268" s="17">
        <v>29581</v>
      </c>
      <c r="C268" s="17" t="s">
        <v>371</v>
      </c>
      <c r="D268" s="19" t="s">
        <v>372</v>
      </c>
      <c r="E268" s="18" t="s">
        <v>373</v>
      </c>
      <c r="F268" s="33">
        <v>200</v>
      </c>
      <c r="G268" s="24">
        <v>510</v>
      </c>
      <c r="H268" s="12">
        <v>0</v>
      </c>
      <c r="I268" s="24">
        <v>0</v>
      </c>
      <c r="J268" s="2">
        <f t="shared" si="301"/>
        <v>139.60856000000001</v>
      </c>
      <c r="K268" s="21" t="s">
        <v>91</v>
      </c>
      <c r="L268" s="2">
        <v>107.3912</v>
      </c>
      <c r="M268" s="2">
        <v>77.911153000000013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1">
        <v>0</v>
      </c>
      <c r="BL268" s="1">
        <v>0</v>
      </c>
      <c r="BM268" s="1">
        <v>0</v>
      </c>
      <c r="BN268" s="1">
        <v>0</v>
      </c>
      <c r="BO268" s="2">
        <f t="shared" si="333"/>
        <v>0</v>
      </c>
      <c r="BP268" s="2">
        <f t="shared" si="337"/>
        <v>0</v>
      </c>
      <c r="BQ268" s="22"/>
    </row>
    <row r="269" spans="1:69" ht="20.100000000000001" customHeight="1" x14ac:dyDescent="0.2">
      <c r="A269" s="17">
        <f t="shared" si="340"/>
        <v>267</v>
      </c>
      <c r="B269" s="17">
        <v>99203</v>
      </c>
      <c r="C269" s="24" t="s">
        <v>88</v>
      </c>
      <c r="D269" s="26" t="s">
        <v>374</v>
      </c>
      <c r="E269" s="18" t="s">
        <v>373</v>
      </c>
      <c r="F269" s="33">
        <v>0</v>
      </c>
      <c r="G269" s="25" t="s">
        <v>88</v>
      </c>
      <c r="H269" s="12">
        <v>0</v>
      </c>
      <c r="I269" s="24">
        <v>0</v>
      </c>
      <c r="J269" s="2">
        <v>0</v>
      </c>
      <c r="K269" s="21" t="s">
        <v>91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1">
        <v>0</v>
      </c>
      <c r="BL269" s="1">
        <v>0</v>
      </c>
      <c r="BM269" s="1">
        <v>0</v>
      </c>
      <c r="BN269" s="1">
        <v>0</v>
      </c>
      <c r="BO269" s="2">
        <f t="shared" si="333"/>
        <v>0</v>
      </c>
      <c r="BP269" s="2">
        <f t="shared" si="337"/>
        <v>0</v>
      </c>
      <c r="BQ269" s="22"/>
    </row>
    <row r="270" spans="1:69" ht="20.100000000000001" customHeight="1" x14ac:dyDescent="0.2">
      <c r="A270" s="17">
        <f t="shared" si="340"/>
        <v>268</v>
      </c>
      <c r="B270" s="17">
        <v>99204</v>
      </c>
      <c r="C270" s="24" t="s">
        <v>88</v>
      </c>
      <c r="D270" s="26" t="s">
        <v>375</v>
      </c>
      <c r="E270" s="18" t="s">
        <v>373</v>
      </c>
      <c r="F270" s="33">
        <v>0</v>
      </c>
      <c r="G270" s="25" t="s">
        <v>88</v>
      </c>
      <c r="H270" s="12">
        <v>0</v>
      </c>
      <c r="I270" s="24">
        <v>0</v>
      </c>
      <c r="J270" s="2">
        <v>0</v>
      </c>
      <c r="K270" s="21" t="s">
        <v>91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1">
        <v>0</v>
      </c>
      <c r="BL270" s="1">
        <v>0</v>
      </c>
      <c r="BM270" s="1">
        <v>0</v>
      </c>
      <c r="BN270" s="1">
        <v>0</v>
      </c>
      <c r="BO270" s="2">
        <f t="shared" si="333"/>
        <v>0</v>
      </c>
      <c r="BP270" s="2">
        <f t="shared" si="337"/>
        <v>0</v>
      </c>
      <c r="BQ270" s="22"/>
    </row>
    <row r="271" spans="1:69" ht="20.100000000000001" customHeight="1" x14ac:dyDescent="0.2">
      <c r="A271" s="17">
        <f t="shared" si="340"/>
        <v>269</v>
      </c>
      <c r="B271" s="17">
        <v>96112</v>
      </c>
      <c r="C271" s="24">
        <v>4209611200</v>
      </c>
      <c r="D271" s="26" t="s">
        <v>376</v>
      </c>
      <c r="E271" s="24" t="s">
        <v>186</v>
      </c>
      <c r="F271" s="33">
        <v>231</v>
      </c>
      <c r="G271" s="24">
        <v>420</v>
      </c>
      <c r="H271" s="12">
        <v>0</v>
      </c>
      <c r="I271" s="24">
        <v>0</v>
      </c>
      <c r="J271" s="2">
        <f t="shared" si="301"/>
        <v>369.90324800000002</v>
      </c>
      <c r="K271" s="21" t="s">
        <v>91</v>
      </c>
      <c r="L271" s="2">
        <v>284.54095999999998</v>
      </c>
      <c r="M271" s="2">
        <v>142.344808</v>
      </c>
      <c r="N271" s="2" t="str">
        <f>CONCATENATE(ROUND(122.56*1.8,2)," ",K271)</f>
        <v xml:space="preserve">220.61 Per Visit </v>
      </c>
      <c r="O271" s="2" t="str">
        <f>CONCATENATE(ROUND(L271,2)," ",K271)</f>
        <v xml:space="preserve">284.54 Per Visit </v>
      </c>
      <c r="P271" s="1" t="s">
        <v>188</v>
      </c>
      <c r="Q271" s="2" t="str">
        <f>CONCATENATE(ROUND(L271,2)," ",K271)</f>
        <v xml:space="preserve">284.54 Per Visit </v>
      </c>
      <c r="R271" s="2" t="str">
        <f>CONCATENATE(ROUND(L271*1.1,2)," ",K271)</f>
        <v xml:space="preserve">313 Per Visit </v>
      </c>
      <c r="S271" s="2" t="str">
        <f>CONCATENATE(ROUND(L271,2)," ",K271)</f>
        <v xml:space="preserve">284.54 Per Visit </v>
      </c>
      <c r="T271" s="1" t="s">
        <v>411</v>
      </c>
      <c r="U271" s="1"/>
      <c r="V271" s="1" t="s">
        <v>412</v>
      </c>
      <c r="W271" s="2" t="str">
        <f>CONCATENATE(ROUND(L271,2)," ",K271)</f>
        <v xml:space="preserve">284.54 Per Visit </v>
      </c>
      <c r="X271" s="2" t="str">
        <f>CONCATENATE(ROUND(L271,2)," ",K271)</f>
        <v xml:space="preserve">284.54 Per Visit </v>
      </c>
      <c r="Y271" s="2" t="str">
        <f>CONCATENATE(ROUND(L271,2)," ",K271)</f>
        <v xml:space="preserve">284.54 Per Visit </v>
      </c>
      <c r="Z271" s="1" t="s">
        <v>189</v>
      </c>
      <c r="AA271" s="2" t="str">
        <f>CONCATENATE(ROUND(L271*0.95,2)," ",K271)</f>
        <v xml:space="preserve">270.31 Per Visit </v>
      </c>
      <c r="AB271" s="2" t="str">
        <f>CONCATENATE(ROUND(L271*0.95,2)," ",K271)</f>
        <v xml:space="preserve">270.31 Per Visit </v>
      </c>
      <c r="AC271" s="2" t="str">
        <f>CONCATENATE(ROUND(L271,2)," ",K271)</f>
        <v xml:space="preserve">284.54 Per Visit </v>
      </c>
      <c r="AD271" s="2" t="str">
        <f>CONCATENATE(ROUND(L271*1.05,2)," ",K271)</f>
        <v xml:space="preserve">298.77 Per Visit </v>
      </c>
      <c r="AE271" s="2" t="str">
        <f>CONCATENATE(ROUND(L271,2)," ",K271)</f>
        <v xml:space="preserve">284.54 Per Visit </v>
      </c>
      <c r="AF271" s="2" t="str">
        <f>CONCATENATE(ROUND(L271,2)," ",K271)</f>
        <v xml:space="preserve">284.54 Per Visit </v>
      </c>
      <c r="AG271" s="2" t="str">
        <f>CONCATENATE(ROUND(L271*0.92,2)," ",K271)</f>
        <v xml:space="preserve">261.78 Per Visit </v>
      </c>
      <c r="AH271" s="2">
        <f>F271*0.7</f>
        <v>161.69999999999999</v>
      </c>
      <c r="AI271" s="1" t="s">
        <v>190</v>
      </c>
      <c r="AJ271" s="1" t="s">
        <v>190</v>
      </c>
      <c r="AK271" s="1" t="s">
        <v>191</v>
      </c>
      <c r="AL271" s="2" t="str">
        <f>CONCATENATE(ROUND(L271,2)," ",K271)</f>
        <v xml:space="preserve">284.54 Per Visit </v>
      </c>
      <c r="AM271" s="2" t="str">
        <f>CONCATENATE(ROUND(L271,2)," ",K271)</f>
        <v xml:space="preserve">284.54 Per Visit </v>
      </c>
      <c r="AN271" s="1" t="s">
        <v>192</v>
      </c>
      <c r="AO271" s="1" t="s">
        <v>192</v>
      </c>
      <c r="AP271" s="1" t="s">
        <v>193</v>
      </c>
      <c r="AQ271" s="1" t="s">
        <v>194</v>
      </c>
      <c r="AR271" s="1" t="s">
        <v>63</v>
      </c>
      <c r="AS271" s="1" t="s">
        <v>195</v>
      </c>
      <c r="AT271" s="1" t="s">
        <v>195</v>
      </c>
      <c r="AU271" s="1">
        <v>158.3634375</v>
      </c>
      <c r="AV271" s="2" t="str">
        <f>CONCATENATE(ROUND(M271*1.1,2)," ",K271)</f>
        <v xml:space="preserve">156.58 Per Visit </v>
      </c>
      <c r="AW271" s="2" t="str">
        <f>CONCATENATE(ROUND(L271,2)," ",K271)</f>
        <v xml:space="preserve">284.54 Per Visit </v>
      </c>
      <c r="AX271" s="2" t="str">
        <f>CONCATENATE(ROUND(L271*0.95,2)," ",K271)</f>
        <v xml:space="preserve">270.31 Per Visit </v>
      </c>
      <c r="AY271" s="2" t="str">
        <f>CONCATENATE(ROUND(L271*0.88,2)," ",K271)</f>
        <v xml:space="preserve">250.4 Per Visit </v>
      </c>
      <c r="AZ271" s="2" t="s">
        <v>198</v>
      </c>
      <c r="BA271" s="1" t="s">
        <v>198</v>
      </c>
      <c r="BB271" s="1" t="s">
        <v>198</v>
      </c>
      <c r="BC271" s="2">
        <v>0</v>
      </c>
      <c r="BD271" s="2">
        <v>0</v>
      </c>
      <c r="BE271" s="2">
        <v>0</v>
      </c>
      <c r="BF271" s="1" t="s">
        <v>199</v>
      </c>
      <c r="BG271" s="2" t="str">
        <f>CONCATENATE(ROUND(L271,2)," ",K271)</f>
        <v xml:space="preserve">284.54 Per Visit </v>
      </c>
      <c r="BH271" s="2" t="str">
        <f>CONCATENATE(ROUND(L271*0.95,2)," ",K271)</f>
        <v xml:space="preserve">270.31 Per Visit </v>
      </c>
      <c r="BI271" s="1" t="s">
        <v>63</v>
      </c>
      <c r="BJ271" s="1" t="s">
        <v>63</v>
      </c>
      <c r="BK271" s="2" t="str">
        <f>CONCATENATE(ROUND(L271*0.95,2)," ",K271)</f>
        <v xml:space="preserve">270.31 Per Visit </v>
      </c>
      <c r="BL271" s="2" t="str">
        <f>CONCATENATE(ROUND(L271,2)," ",K271)</f>
        <v xml:space="preserve">284.54 Per Visit </v>
      </c>
      <c r="BM271" s="1" t="s">
        <v>200</v>
      </c>
      <c r="BN271" s="1" t="s">
        <v>198</v>
      </c>
      <c r="BO271" s="2">
        <f t="shared" si="333"/>
        <v>0</v>
      </c>
      <c r="BP271" s="2" t="s">
        <v>201</v>
      </c>
      <c r="BQ271" s="22"/>
    </row>
    <row r="272" spans="1:69" ht="20.100000000000001" customHeight="1" x14ac:dyDescent="0.2">
      <c r="A272" s="17">
        <f t="shared" si="340"/>
        <v>270</v>
      </c>
      <c r="B272" s="17">
        <v>99205</v>
      </c>
      <c r="C272" s="24" t="s">
        <v>88</v>
      </c>
      <c r="D272" s="19" t="s">
        <v>377</v>
      </c>
      <c r="E272" s="18" t="s">
        <v>373</v>
      </c>
      <c r="F272" s="33">
        <v>0</v>
      </c>
      <c r="G272" s="25" t="s">
        <v>88</v>
      </c>
      <c r="H272" s="12">
        <v>0</v>
      </c>
      <c r="I272" s="24">
        <v>0</v>
      </c>
      <c r="J272" s="2">
        <v>0</v>
      </c>
      <c r="K272" s="21" t="s">
        <v>91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1">
        <v>0</v>
      </c>
      <c r="BL272" s="1">
        <v>0</v>
      </c>
      <c r="BM272" s="1">
        <v>0</v>
      </c>
      <c r="BN272" s="1">
        <v>0</v>
      </c>
      <c r="BO272" s="2">
        <f t="shared" si="333"/>
        <v>0</v>
      </c>
      <c r="BP272" s="2">
        <f t="shared" si="337"/>
        <v>0</v>
      </c>
      <c r="BQ272" s="22"/>
    </row>
    <row r="273" spans="1:69" ht="20.100000000000001" customHeight="1" x14ac:dyDescent="0.2">
      <c r="A273" s="17">
        <f t="shared" si="340"/>
        <v>271</v>
      </c>
      <c r="B273" s="24">
        <v>97016</v>
      </c>
      <c r="C273" s="24">
        <v>4209701600</v>
      </c>
      <c r="D273" s="28" t="s">
        <v>378</v>
      </c>
      <c r="E273" s="24" t="s">
        <v>186</v>
      </c>
      <c r="F273" s="33">
        <v>39.119999999999997</v>
      </c>
      <c r="G273" s="24">
        <v>420</v>
      </c>
      <c r="H273" s="12">
        <v>0</v>
      </c>
      <c r="I273" s="24">
        <v>0</v>
      </c>
      <c r="J273" s="2">
        <f t="shared" si="301"/>
        <v>16.668495999999998</v>
      </c>
      <c r="K273" s="21" t="s">
        <v>91</v>
      </c>
      <c r="L273" s="2">
        <v>12.821919999999999</v>
      </c>
      <c r="M273" s="2">
        <v>13.607667000000001</v>
      </c>
      <c r="N273" s="2" t="str">
        <f>CONCATENATE(ROUND(11.78*1.8,2)," ",K273)</f>
        <v xml:space="preserve">21.2 Per Visit </v>
      </c>
      <c r="O273" s="2" t="str">
        <f>CONCATENATE(ROUND(L273,2)," ",K273)</f>
        <v xml:space="preserve">12.82 Per Visit </v>
      </c>
      <c r="P273" s="1" t="s">
        <v>188</v>
      </c>
      <c r="Q273" s="2" t="str">
        <f>CONCATENATE(ROUND(L273,2)," ",K273)</f>
        <v xml:space="preserve">12.82 Per Visit </v>
      </c>
      <c r="R273" s="2" t="str">
        <f>CONCATENATE(ROUND(L273*1.1,2)," ",K273)</f>
        <v xml:space="preserve">14.1 Per Visit </v>
      </c>
      <c r="S273" s="2" t="str">
        <f>CONCATENATE(ROUND(L273,2)," ",K273)</f>
        <v xml:space="preserve">12.82 Per Visit </v>
      </c>
      <c r="T273" s="1" t="s">
        <v>411</v>
      </c>
      <c r="U273" s="1"/>
      <c r="V273" s="1" t="s">
        <v>412</v>
      </c>
      <c r="W273" s="2" t="str">
        <f>CONCATENATE(ROUND(L273,2)," ",K273)</f>
        <v xml:space="preserve">12.82 Per Visit </v>
      </c>
      <c r="X273" s="2" t="str">
        <f>CONCATENATE(ROUND(L273,2)," ",K273)</f>
        <v xml:space="preserve">12.82 Per Visit </v>
      </c>
      <c r="Y273" s="2" t="str">
        <f>CONCATENATE(ROUND(L273,2)," ",K273)</f>
        <v xml:space="preserve">12.82 Per Visit </v>
      </c>
      <c r="Z273" s="1" t="s">
        <v>189</v>
      </c>
      <c r="AA273" s="2" t="str">
        <f>CONCATENATE(ROUND(L273*0.95,2)," ",K273)</f>
        <v xml:space="preserve">12.18 Per Visit </v>
      </c>
      <c r="AB273" s="2" t="str">
        <f>CONCATENATE(ROUND(L273*0.95,2)," ",K273)</f>
        <v xml:space="preserve">12.18 Per Visit </v>
      </c>
      <c r="AC273" s="2" t="str">
        <f>CONCATENATE(ROUND(L273,2)," ",K273)</f>
        <v xml:space="preserve">12.82 Per Visit </v>
      </c>
      <c r="AD273" s="2" t="str">
        <f>CONCATENATE(ROUND(L273*1.05,2)," ",K273)</f>
        <v xml:space="preserve">13.46 Per Visit </v>
      </c>
      <c r="AE273" s="2" t="str">
        <f>CONCATENATE(ROUND(L273,2)," ",K273)</f>
        <v xml:space="preserve">12.82 Per Visit </v>
      </c>
      <c r="AF273" s="2" t="str">
        <f>CONCATENATE(ROUND(L273,2)," ",K273)</f>
        <v xml:space="preserve">12.82 Per Visit </v>
      </c>
      <c r="AG273" s="2" t="str">
        <f>CONCATENATE(ROUND(L273*0.92,2)," ",K273)</f>
        <v xml:space="preserve">11.8 Per Visit </v>
      </c>
      <c r="AH273" s="2">
        <f>F273*0.7</f>
        <v>27.383999999999997</v>
      </c>
      <c r="AI273" s="1" t="s">
        <v>190</v>
      </c>
      <c r="AJ273" s="1" t="s">
        <v>190</v>
      </c>
      <c r="AK273" s="1" t="s">
        <v>191</v>
      </c>
      <c r="AL273" s="2" t="str">
        <f>CONCATENATE(ROUND(L273,2)," ",K273)</f>
        <v xml:space="preserve">12.82 Per Visit </v>
      </c>
      <c r="AM273" s="2" t="str">
        <f>CONCATENATE(ROUND(L273,2)," ",K273)</f>
        <v xml:space="preserve">12.82 Per Visit </v>
      </c>
      <c r="AN273" s="1" t="s">
        <v>192</v>
      </c>
      <c r="AO273" s="1" t="s">
        <v>192</v>
      </c>
      <c r="AP273" s="1" t="s">
        <v>193</v>
      </c>
      <c r="AQ273" s="1" t="s">
        <v>194</v>
      </c>
      <c r="AR273" s="1" t="s">
        <v>63</v>
      </c>
      <c r="AS273" s="1" t="s">
        <v>195</v>
      </c>
      <c r="AT273" s="1" t="s">
        <v>195</v>
      </c>
      <c r="AU273" s="1">
        <v>158.3634375</v>
      </c>
      <c r="AV273" s="2" t="str">
        <f>CONCATENATE(ROUND(M273*1.1,2)," ",K273)</f>
        <v xml:space="preserve">14.97 Per Visit </v>
      </c>
      <c r="AW273" s="2" t="str">
        <f>CONCATENATE(ROUND(L273,2)," ",K273)</f>
        <v xml:space="preserve">12.82 Per Visit </v>
      </c>
      <c r="AX273" s="2" t="str">
        <f>CONCATENATE(ROUND(L273*0.95,2)," ",K273)</f>
        <v xml:space="preserve">12.18 Per Visit </v>
      </c>
      <c r="AY273" s="2" t="str">
        <f>CONCATENATE(ROUND(L273*0.88,2)," ",K273)</f>
        <v xml:space="preserve">11.28 Per Visit </v>
      </c>
      <c r="AZ273" s="2" t="s">
        <v>198</v>
      </c>
      <c r="BA273" s="1" t="s">
        <v>198</v>
      </c>
      <c r="BB273" s="1" t="s">
        <v>198</v>
      </c>
      <c r="BC273" s="2">
        <v>0</v>
      </c>
      <c r="BD273" s="2">
        <v>0</v>
      </c>
      <c r="BE273" s="2">
        <v>0</v>
      </c>
      <c r="BF273" s="1" t="s">
        <v>199</v>
      </c>
      <c r="BG273" s="2" t="str">
        <f>CONCATENATE(ROUND(L273,2)," ",K273)</f>
        <v xml:space="preserve">12.82 Per Visit </v>
      </c>
      <c r="BH273" s="2" t="str">
        <f>CONCATENATE(ROUND(L273*0.95,2)," ",K273)</f>
        <v xml:space="preserve">12.18 Per Visit </v>
      </c>
      <c r="BI273" s="1" t="s">
        <v>63</v>
      </c>
      <c r="BJ273" s="1" t="s">
        <v>63</v>
      </c>
      <c r="BK273" s="2" t="str">
        <f>CONCATENATE(ROUND(L273*0.95,2)," ",K273)</f>
        <v xml:space="preserve">12.18 Per Visit </v>
      </c>
      <c r="BL273" s="2" t="str">
        <f>CONCATENATE(ROUND(L273,2)," ",K273)</f>
        <v xml:space="preserve">12.82 Per Visit </v>
      </c>
      <c r="BM273" s="1" t="s">
        <v>200</v>
      </c>
      <c r="BN273" s="1" t="s">
        <v>198</v>
      </c>
      <c r="BO273" s="2">
        <f>MIN(N273:BN273)</f>
        <v>0</v>
      </c>
      <c r="BP273" s="2" t="s">
        <v>201</v>
      </c>
      <c r="BQ273" s="22"/>
    </row>
    <row r="274" spans="1:69" ht="20.100000000000001" customHeight="1" x14ac:dyDescent="0.2">
      <c r="A274" s="17">
        <f t="shared" si="340"/>
        <v>272</v>
      </c>
      <c r="B274" s="24">
        <v>95885</v>
      </c>
      <c r="C274" s="24">
        <v>9229588500</v>
      </c>
      <c r="D274" s="19" t="s">
        <v>379</v>
      </c>
      <c r="E274" s="18" t="s">
        <v>373</v>
      </c>
      <c r="F274" s="33">
        <v>0</v>
      </c>
      <c r="G274" s="24">
        <v>922</v>
      </c>
      <c r="H274" s="12">
        <v>0</v>
      </c>
      <c r="I274" s="24">
        <v>0</v>
      </c>
      <c r="J274" s="2">
        <f t="shared" si="301"/>
        <v>103.3526</v>
      </c>
      <c r="K274" s="21" t="s">
        <v>91</v>
      </c>
      <c r="L274" s="2">
        <v>79.501999999999995</v>
      </c>
      <c r="M274" s="2">
        <v>49.904792000000008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1">
        <v>0</v>
      </c>
      <c r="BL274" s="1">
        <v>0</v>
      </c>
      <c r="BM274" s="1">
        <v>0</v>
      </c>
      <c r="BN274" s="1">
        <v>0</v>
      </c>
      <c r="BO274" s="2">
        <f t="shared" si="333"/>
        <v>0</v>
      </c>
      <c r="BP274" s="2">
        <f t="shared" si="337"/>
        <v>0</v>
      </c>
      <c r="BQ274" s="22"/>
    </row>
    <row r="275" spans="1:69" ht="20.100000000000001" customHeight="1" x14ac:dyDescent="0.2">
      <c r="A275" s="17">
        <f t="shared" si="340"/>
        <v>273</v>
      </c>
      <c r="B275" s="24">
        <v>93000</v>
      </c>
      <c r="C275" s="24" t="s">
        <v>88</v>
      </c>
      <c r="D275" s="26" t="s">
        <v>380</v>
      </c>
      <c r="E275" s="18" t="s">
        <v>373</v>
      </c>
      <c r="F275" s="33">
        <v>0</v>
      </c>
      <c r="G275" s="25" t="s">
        <v>88</v>
      </c>
      <c r="H275" s="12">
        <v>0</v>
      </c>
      <c r="I275" s="24">
        <v>0</v>
      </c>
      <c r="J275" s="2">
        <v>0</v>
      </c>
      <c r="K275" s="21" t="s">
        <v>91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1">
        <v>0</v>
      </c>
      <c r="BL275" s="1">
        <v>0</v>
      </c>
      <c r="BM275" s="1">
        <v>0</v>
      </c>
      <c r="BN275" s="1">
        <v>0</v>
      </c>
      <c r="BO275" s="2">
        <f t="shared" si="333"/>
        <v>0</v>
      </c>
      <c r="BP275" s="2">
        <f t="shared" si="337"/>
        <v>0</v>
      </c>
      <c r="BQ275" s="22"/>
    </row>
    <row r="276" spans="1:69" ht="20.100000000000001" customHeight="1" x14ac:dyDescent="0.2">
      <c r="A276" s="17">
        <f t="shared" si="340"/>
        <v>274</v>
      </c>
      <c r="B276" s="24">
        <v>96372</v>
      </c>
      <c r="C276" s="24">
        <v>5109637200</v>
      </c>
      <c r="D276" s="19" t="s">
        <v>381</v>
      </c>
      <c r="E276" s="18" t="s">
        <v>373</v>
      </c>
      <c r="F276" s="33">
        <v>24</v>
      </c>
      <c r="G276" s="24">
        <v>510</v>
      </c>
      <c r="H276" s="12">
        <v>0</v>
      </c>
      <c r="I276" s="24">
        <v>0</v>
      </c>
      <c r="J276" s="2">
        <f t="shared" si="301"/>
        <v>21.013928000000003</v>
      </c>
      <c r="K276" s="21" t="s">
        <v>91</v>
      </c>
      <c r="L276" s="2">
        <v>16.164560000000002</v>
      </c>
      <c r="M276" s="2">
        <v>18.774375000000003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1">
        <v>0</v>
      </c>
      <c r="BL276" s="1">
        <v>0</v>
      </c>
      <c r="BM276" s="1">
        <v>0</v>
      </c>
      <c r="BN276" s="1">
        <v>0</v>
      </c>
      <c r="BO276" s="2">
        <f t="shared" si="333"/>
        <v>0</v>
      </c>
      <c r="BP276" s="2">
        <f t="shared" si="337"/>
        <v>0</v>
      </c>
      <c r="BQ276" s="22"/>
    </row>
    <row r="277" spans="1:69" ht="20.100000000000001" customHeight="1" x14ac:dyDescent="0.2">
      <c r="A277" s="17">
        <f t="shared" si="340"/>
        <v>275</v>
      </c>
      <c r="B277" s="24">
        <v>93923</v>
      </c>
      <c r="C277" s="24">
        <v>5109392300</v>
      </c>
      <c r="D277" s="19" t="s">
        <v>382</v>
      </c>
      <c r="E277" s="18" t="s">
        <v>373</v>
      </c>
      <c r="F277" s="33">
        <v>436.29</v>
      </c>
      <c r="G277" s="24">
        <v>510</v>
      </c>
      <c r="H277" s="12">
        <v>0</v>
      </c>
      <c r="I277" s="24">
        <v>0</v>
      </c>
      <c r="J277" s="2">
        <f t="shared" si="301"/>
        <v>205.58252000000002</v>
      </c>
      <c r="K277" s="21" t="s">
        <v>91</v>
      </c>
      <c r="L277" s="2">
        <v>158.1404</v>
      </c>
      <c r="M277" s="2">
        <v>97.486568000000005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1">
        <v>0</v>
      </c>
      <c r="BL277" s="1">
        <v>0</v>
      </c>
      <c r="BM277" s="1">
        <v>0</v>
      </c>
      <c r="BN277" s="1">
        <v>0</v>
      </c>
      <c r="BO277" s="2">
        <f t="shared" si="333"/>
        <v>0</v>
      </c>
      <c r="BP277" s="2">
        <f t="shared" si="337"/>
        <v>0</v>
      </c>
      <c r="BQ277" s="22"/>
    </row>
    <row r="278" spans="1:69" ht="20.100000000000001" customHeight="1" x14ac:dyDescent="0.2">
      <c r="A278" s="17">
        <f t="shared" si="340"/>
        <v>276</v>
      </c>
      <c r="B278" s="24">
        <v>95910</v>
      </c>
      <c r="C278" s="24">
        <v>5109591000</v>
      </c>
      <c r="D278" s="26" t="s">
        <v>383</v>
      </c>
      <c r="E278" s="18" t="s">
        <v>373</v>
      </c>
      <c r="F278" s="33">
        <v>840.18</v>
      </c>
      <c r="G278" s="24">
        <v>510</v>
      </c>
      <c r="H278" s="12">
        <v>0</v>
      </c>
      <c r="I278" s="24">
        <v>0</v>
      </c>
      <c r="J278" s="2">
        <f t="shared" si="301"/>
        <v>284.75127200000003</v>
      </c>
      <c r="K278" s="21" t="s">
        <v>91</v>
      </c>
      <c r="L278" s="2">
        <v>219.03944000000001</v>
      </c>
      <c r="M278" s="2">
        <v>161.159235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1">
        <v>0</v>
      </c>
      <c r="BL278" s="1">
        <v>0</v>
      </c>
      <c r="BM278" s="1">
        <v>0</v>
      </c>
      <c r="BN278" s="1">
        <v>0</v>
      </c>
      <c r="BO278" s="2">
        <f t="shared" si="333"/>
        <v>0</v>
      </c>
      <c r="BP278" s="2">
        <f t="shared" si="337"/>
        <v>0</v>
      </c>
      <c r="BQ278" s="22"/>
    </row>
    <row r="279" spans="1:69" ht="20.100000000000001" customHeight="1" x14ac:dyDescent="0.2">
      <c r="A279" s="17">
        <f t="shared" si="340"/>
        <v>277</v>
      </c>
      <c r="B279" s="24">
        <v>29580</v>
      </c>
      <c r="C279" s="18" t="s">
        <v>384</v>
      </c>
      <c r="D279" s="26" t="s">
        <v>385</v>
      </c>
      <c r="E279" s="18" t="s">
        <v>373</v>
      </c>
      <c r="F279" s="33">
        <v>385</v>
      </c>
      <c r="G279" s="24">
        <v>510</v>
      </c>
      <c r="H279" s="12">
        <v>0</v>
      </c>
      <c r="I279" s="24">
        <v>0</v>
      </c>
      <c r="J279" s="2">
        <f t="shared" si="301"/>
        <v>96.893888000000004</v>
      </c>
      <c r="K279" s="21" t="s">
        <v>91</v>
      </c>
      <c r="L279" s="1">
        <v>74.533760000000001</v>
      </c>
      <c r="M279" s="2">
        <v>27.215334000000002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1">
        <v>0</v>
      </c>
      <c r="BL279" s="1">
        <v>0</v>
      </c>
      <c r="BM279" s="1">
        <v>0</v>
      </c>
      <c r="BN279" s="1">
        <v>0</v>
      </c>
      <c r="BO279" s="2">
        <f t="shared" si="333"/>
        <v>0</v>
      </c>
      <c r="BP279" s="2">
        <f t="shared" si="337"/>
        <v>0</v>
      </c>
      <c r="BQ279" s="22"/>
    </row>
    <row r="280" spans="1:69" ht="20.100000000000001" customHeight="1" x14ac:dyDescent="0.2">
      <c r="A280" s="17">
        <f t="shared" si="340"/>
        <v>278</v>
      </c>
      <c r="B280" s="24">
        <v>93017</v>
      </c>
      <c r="C280" s="24">
        <v>4829301700</v>
      </c>
      <c r="D280" s="19" t="s">
        <v>386</v>
      </c>
      <c r="E280" s="18" t="s">
        <v>373</v>
      </c>
      <c r="F280" s="33">
        <v>840.18</v>
      </c>
      <c r="G280" s="24">
        <v>482</v>
      </c>
      <c r="H280" s="12">
        <v>0</v>
      </c>
      <c r="I280" s="24">
        <v>0</v>
      </c>
      <c r="J280" s="2">
        <f t="shared" si="301"/>
        <v>54.311295999999992</v>
      </c>
      <c r="K280" s="21" t="s">
        <v>91</v>
      </c>
      <c r="L280" s="2">
        <v>41.777919999999995</v>
      </c>
      <c r="M280" s="2">
        <v>52.568250000000006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1">
        <v>0</v>
      </c>
      <c r="BL280" s="1">
        <v>0</v>
      </c>
      <c r="BM280" s="1">
        <v>0</v>
      </c>
      <c r="BN280" s="1">
        <v>0</v>
      </c>
      <c r="BO280" s="2">
        <f t="shared" si="333"/>
        <v>0</v>
      </c>
      <c r="BP280" s="2">
        <f t="shared" si="337"/>
        <v>0</v>
      </c>
      <c r="BQ280" s="22"/>
    </row>
    <row r="281" spans="1:69" ht="20.100000000000001" customHeight="1" x14ac:dyDescent="0.2">
      <c r="A281" s="17">
        <f t="shared" si="340"/>
        <v>279</v>
      </c>
      <c r="B281" s="24">
        <v>95909</v>
      </c>
      <c r="C281" s="24">
        <v>5109590900</v>
      </c>
      <c r="D281" s="26" t="s">
        <v>387</v>
      </c>
      <c r="E281" s="18" t="s">
        <v>373</v>
      </c>
      <c r="F281" s="33">
        <v>840.18</v>
      </c>
      <c r="G281" s="24">
        <v>510</v>
      </c>
      <c r="H281" s="12">
        <v>0</v>
      </c>
      <c r="I281" s="24">
        <v>0</v>
      </c>
      <c r="J281" s="2">
        <f t="shared" si="301"/>
        <v>216.96781600000003</v>
      </c>
      <c r="K281" s="21" t="s">
        <v>91</v>
      </c>
      <c r="L281" s="1">
        <v>166.89832000000001</v>
      </c>
      <c r="M281" s="2">
        <v>122.49904200000002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1">
        <v>0</v>
      </c>
      <c r="BL281" s="1">
        <v>0</v>
      </c>
      <c r="BM281" s="1">
        <v>0</v>
      </c>
      <c r="BN281" s="1">
        <v>0</v>
      </c>
      <c r="BO281" s="2">
        <f t="shared" si="333"/>
        <v>0</v>
      </c>
      <c r="BP281" s="2">
        <f t="shared" si="337"/>
        <v>0</v>
      </c>
      <c r="BQ281" s="22"/>
    </row>
    <row r="282" spans="1:69" ht="20.100000000000001" customHeight="1" x14ac:dyDescent="0.2">
      <c r="A282" s="17">
        <f t="shared" si="340"/>
        <v>280</v>
      </c>
      <c r="B282" s="24">
        <v>97597</v>
      </c>
      <c r="C282" s="29">
        <v>5109759700</v>
      </c>
      <c r="D282" s="19" t="s">
        <v>388</v>
      </c>
      <c r="E282" s="18" t="s">
        <v>373</v>
      </c>
      <c r="F282" s="33">
        <v>541.74</v>
      </c>
      <c r="G282" s="24">
        <v>510</v>
      </c>
      <c r="H282" s="12">
        <v>0</v>
      </c>
      <c r="I282" s="24">
        <v>0</v>
      </c>
      <c r="J282" s="2">
        <f t="shared" si="301"/>
        <v>153.74112000000002</v>
      </c>
      <c r="K282" s="21" t="s">
        <v>91</v>
      </c>
      <c r="L282" s="2">
        <v>118.26240000000001</v>
      </c>
      <c r="M282" s="2">
        <v>42.164743000000001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1">
        <v>0</v>
      </c>
      <c r="BL282" s="1">
        <v>0</v>
      </c>
      <c r="BM282" s="1">
        <v>0</v>
      </c>
      <c r="BN282" s="1">
        <v>0</v>
      </c>
      <c r="BO282" s="2">
        <f t="shared" si="333"/>
        <v>0</v>
      </c>
      <c r="BP282" s="2">
        <f t="shared" si="337"/>
        <v>0</v>
      </c>
      <c r="BQ282" s="22"/>
    </row>
    <row r="283" spans="1:69" ht="20.100000000000001" customHeight="1" x14ac:dyDescent="0.2">
      <c r="A283" s="17">
        <f t="shared" si="340"/>
        <v>281</v>
      </c>
      <c r="B283" s="24">
        <v>93005</v>
      </c>
      <c r="C283" s="24">
        <v>5109300500</v>
      </c>
      <c r="D283" s="19" t="s">
        <v>389</v>
      </c>
      <c r="E283" s="18" t="s">
        <v>373</v>
      </c>
      <c r="F283" s="33">
        <v>172.44</v>
      </c>
      <c r="G283" s="24">
        <v>510</v>
      </c>
      <c r="H283" s="12">
        <v>0</v>
      </c>
      <c r="I283" s="24">
        <v>0</v>
      </c>
      <c r="J283" s="2">
        <f t="shared" si="301"/>
        <v>10.090911999999999</v>
      </c>
      <c r="K283" s="21" t="s">
        <v>91</v>
      </c>
      <c r="L283" s="1">
        <v>7.7622399999999994</v>
      </c>
      <c r="M283" s="2">
        <v>16.421320000000001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1">
        <v>0</v>
      </c>
      <c r="BL283" s="1">
        <v>0</v>
      </c>
      <c r="BM283" s="1">
        <v>0</v>
      </c>
      <c r="BN283" s="1">
        <v>0</v>
      </c>
      <c r="BO283" s="2">
        <f t="shared" si="333"/>
        <v>0</v>
      </c>
      <c r="BP283" s="2">
        <f t="shared" si="337"/>
        <v>0</v>
      </c>
      <c r="BQ283" s="22"/>
    </row>
    <row r="284" spans="1:69" ht="20.100000000000001" customHeight="1" x14ac:dyDescent="0.2">
      <c r="A284" s="17">
        <f t="shared" si="340"/>
        <v>282</v>
      </c>
      <c r="B284" s="24">
        <v>97124</v>
      </c>
      <c r="C284" s="24">
        <v>4209712400</v>
      </c>
      <c r="D284" s="19" t="s">
        <v>390</v>
      </c>
      <c r="E284" s="24" t="s">
        <v>186</v>
      </c>
      <c r="F284" s="33">
        <v>102.96</v>
      </c>
      <c r="G284" s="24">
        <v>420</v>
      </c>
      <c r="H284" s="12">
        <v>0</v>
      </c>
      <c r="I284" s="24">
        <v>0</v>
      </c>
      <c r="J284" s="2">
        <f t="shared" si="301"/>
        <v>44.471336000000001</v>
      </c>
      <c r="K284" s="21" t="s">
        <v>91</v>
      </c>
      <c r="L284" s="1">
        <v>34.20872</v>
      </c>
      <c r="M284" s="2">
        <v>12.566315000000001</v>
      </c>
      <c r="N284" s="2" t="str">
        <f>CONCATENATE(ROUND(16.31*1.8,2)," ",K284)</f>
        <v xml:space="preserve">29.36 Per Visit </v>
      </c>
      <c r="O284" s="2" t="str">
        <f>CONCATENATE(ROUND(L284,2)," ",K284)</f>
        <v xml:space="preserve">34.21 Per Visit </v>
      </c>
      <c r="P284" s="1" t="s">
        <v>188</v>
      </c>
      <c r="Q284" s="2" t="str">
        <f>CONCATENATE(ROUND(L284,2)," ",K284)</f>
        <v xml:space="preserve">34.21 Per Visit </v>
      </c>
      <c r="R284" s="2" t="str">
        <f>CONCATENATE(ROUND(L284*1.1,2)," ",K284)</f>
        <v xml:space="preserve">37.63 Per Visit </v>
      </c>
      <c r="S284" s="2" t="str">
        <f>CONCATENATE(ROUND(L284,2)," ",K284)</f>
        <v xml:space="preserve">34.21 Per Visit </v>
      </c>
      <c r="T284" s="1" t="s">
        <v>411</v>
      </c>
      <c r="U284" s="1"/>
      <c r="V284" s="1" t="s">
        <v>412</v>
      </c>
      <c r="W284" s="2" t="str">
        <f>CONCATENATE(ROUND(L284,2)," ",K284)</f>
        <v xml:space="preserve">34.21 Per Visit </v>
      </c>
      <c r="X284" s="2" t="str">
        <f>CONCATENATE(ROUND(L284,2)," ",K284)</f>
        <v xml:space="preserve">34.21 Per Visit </v>
      </c>
      <c r="Y284" s="2" t="str">
        <f>CONCATENATE(ROUND(L284,2)," ",K284)</f>
        <v xml:space="preserve">34.21 Per Visit </v>
      </c>
      <c r="Z284" s="1" t="s">
        <v>189</v>
      </c>
      <c r="AA284" s="2" t="str">
        <f>CONCATENATE(ROUND(L284*0.95,2)," ",K284)</f>
        <v xml:space="preserve">32.5 Per Visit </v>
      </c>
      <c r="AB284" s="2" t="str">
        <f>CONCATENATE(ROUND(L284*0.95,2)," ",K284)</f>
        <v xml:space="preserve">32.5 Per Visit </v>
      </c>
      <c r="AC284" s="2" t="str">
        <f>CONCATENATE(ROUND(L284,2)," ",K284)</f>
        <v xml:space="preserve">34.21 Per Visit </v>
      </c>
      <c r="AD284" s="2" t="str">
        <f>CONCATENATE(ROUND(L284*1.05,2)," ",K284)</f>
        <v xml:space="preserve">35.92 Per Visit </v>
      </c>
      <c r="AE284" s="2" t="str">
        <f>CONCATENATE(ROUND(L284,2)," ",K284)</f>
        <v xml:space="preserve">34.21 Per Visit </v>
      </c>
      <c r="AF284" s="2" t="str">
        <f>CONCATENATE(ROUND(L284,2)," ",K284)</f>
        <v xml:space="preserve">34.21 Per Visit </v>
      </c>
      <c r="AG284" s="2" t="str">
        <f>CONCATENATE(ROUND(L284*0.92,2)," ",K284)</f>
        <v xml:space="preserve">31.47 Per Visit </v>
      </c>
      <c r="AH284" s="2">
        <f>F284*0.7</f>
        <v>72.071999999999989</v>
      </c>
      <c r="AI284" s="1" t="s">
        <v>190</v>
      </c>
      <c r="AJ284" s="1" t="s">
        <v>190</v>
      </c>
      <c r="AK284" s="1" t="s">
        <v>191</v>
      </c>
      <c r="AL284" s="2" t="str">
        <f>CONCATENATE(ROUND(L284,2)," ",K284)</f>
        <v xml:space="preserve">34.21 Per Visit </v>
      </c>
      <c r="AM284" s="2" t="str">
        <f>CONCATENATE(ROUND(L284,2)," ",K284)</f>
        <v xml:space="preserve">34.21 Per Visit </v>
      </c>
      <c r="AN284" s="1" t="s">
        <v>192</v>
      </c>
      <c r="AO284" s="1" t="s">
        <v>192</v>
      </c>
      <c r="AP284" s="1" t="s">
        <v>193</v>
      </c>
      <c r="AQ284" s="1" t="s">
        <v>194</v>
      </c>
      <c r="AR284" s="1" t="s">
        <v>63</v>
      </c>
      <c r="AS284" s="1" t="s">
        <v>195</v>
      </c>
      <c r="AT284" s="1" t="s">
        <v>195</v>
      </c>
      <c r="AU284" s="1">
        <v>158.3634375</v>
      </c>
      <c r="AV284" s="2" t="str">
        <f>CONCATENATE(ROUND(M284*1.1,2)," ",K284)</f>
        <v xml:space="preserve">13.82 Per Visit </v>
      </c>
      <c r="AW284" s="2" t="str">
        <f>CONCATENATE(ROUND(L284,2)," ",K284)</f>
        <v xml:space="preserve">34.21 Per Visit </v>
      </c>
      <c r="AX284" s="2" t="str">
        <f>CONCATENATE(ROUND(L284*0.95,2)," ",K284)</f>
        <v xml:space="preserve">32.5 Per Visit </v>
      </c>
      <c r="AY284" s="2" t="str">
        <f>CONCATENATE(ROUND(L284*0.88,2)," ",K284)</f>
        <v xml:space="preserve">30.1 Per Visit </v>
      </c>
      <c r="AZ284" s="2" t="s">
        <v>196</v>
      </c>
      <c r="BA284" s="1" t="s">
        <v>197</v>
      </c>
      <c r="BB284" s="1" t="s">
        <v>198</v>
      </c>
      <c r="BC284" s="2">
        <v>0</v>
      </c>
      <c r="BD284" s="2">
        <v>0</v>
      </c>
      <c r="BE284" s="2">
        <v>0</v>
      </c>
      <c r="BF284" s="1" t="s">
        <v>199</v>
      </c>
      <c r="BG284" s="2" t="str">
        <f>CONCATENATE(ROUND(L284,2)," ",K284)</f>
        <v xml:space="preserve">34.21 Per Visit </v>
      </c>
      <c r="BH284" s="2" t="str">
        <f>CONCATENATE(ROUND(L284*0.95,2)," ",K284)</f>
        <v xml:space="preserve">32.5 Per Visit </v>
      </c>
      <c r="BI284" s="1" t="s">
        <v>63</v>
      </c>
      <c r="BJ284" s="1" t="s">
        <v>63</v>
      </c>
      <c r="BK284" s="2" t="str">
        <f>CONCATENATE(ROUND(L284*0.95,2)," ",K284)</f>
        <v xml:space="preserve">32.5 Per Visit </v>
      </c>
      <c r="BL284" s="2" t="str">
        <f>CONCATENATE(ROUND(L284,2)," ",K284)</f>
        <v xml:space="preserve">34.21 Per Visit </v>
      </c>
      <c r="BM284" s="1" t="s">
        <v>200</v>
      </c>
      <c r="BN284" s="1" t="s">
        <v>198</v>
      </c>
      <c r="BO284" s="2">
        <f>MIN(N284:BN284)</f>
        <v>0</v>
      </c>
      <c r="BP284" s="2" t="s">
        <v>201</v>
      </c>
      <c r="BQ284" s="22"/>
    </row>
    <row r="285" spans="1:69" ht="20.100000000000001" customHeight="1" x14ac:dyDescent="0.2">
      <c r="A285" s="17">
        <f t="shared" si="340"/>
        <v>283</v>
      </c>
      <c r="B285" s="24">
        <v>95911</v>
      </c>
      <c r="C285" s="24">
        <v>5109591100</v>
      </c>
      <c r="D285" s="26" t="s">
        <v>391</v>
      </c>
      <c r="E285" s="18" t="s">
        <v>373</v>
      </c>
      <c r="F285" s="33">
        <v>1450.29</v>
      </c>
      <c r="G285" s="24">
        <v>510</v>
      </c>
      <c r="H285" s="12">
        <v>0</v>
      </c>
      <c r="I285" s="24">
        <v>0</v>
      </c>
      <c r="J285" s="2">
        <f t="shared" si="301"/>
        <v>372.75617600000004</v>
      </c>
      <c r="K285" s="21" t="s">
        <v>91</v>
      </c>
      <c r="L285" s="1">
        <v>286.73552000000001</v>
      </c>
      <c r="M285" s="2">
        <v>194.80291500000001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1">
        <v>0</v>
      </c>
      <c r="BL285" s="1">
        <v>0</v>
      </c>
      <c r="BM285" s="1">
        <v>0</v>
      </c>
      <c r="BN285" s="1">
        <v>0</v>
      </c>
      <c r="BO285" s="2">
        <f t="shared" si="333"/>
        <v>0</v>
      </c>
      <c r="BP285" s="2">
        <f t="shared" ref="BP285:BP302" si="341">MAX(N285:BN285)</f>
        <v>0</v>
      </c>
      <c r="BQ285" s="22"/>
    </row>
    <row r="286" spans="1:69" ht="20.100000000000001" customHeight="1" x14ac:dyDescent="0.2">
      <c r="A286" s="17">
        <f t="shared" si="340"/>
        <v>284</v>
      </c>
      <c r="B286" s="24">
        <v>92083</v>
      </c>
      <c r="C286" s="24">
        <v>5109208300</v>
      </c>
      <c r="D286" s="30" t="s">
        <v>392</v>
      </c>
      <c r="E286" s="18" t="s">
        <v>373</v>
      </c>
      <c r="F286" s="33">
        <v>348.33</v>
      </c>
      <c r="G286" s="24">
        <v>510</v>
      </c>
      <c r="H286" s="12">
        <v>0</v>
      </c>
      <c r="I286" s="24">
        <v>0</v>
      </c>
      <c r="J286" s="2">
        <f t="shared" si="301"/>
        <v>96.325944000000021</v>
      </c>
      <c r="K286" s="21" t="s">
        <v>91</v>
      </c>
      <c r="L286" s="1">
        <v>74.096880000000013</v>
      </c>
      <c r="M286" s="2">
        <v>30.549663000000002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1">
        <v>0</v>
      </c>
      <c r="BL286" s="1">
        <v>0</v>
      </c>
      <c r="BM286" s="1">
        <v>0</v>
      </c>
      <c r="BN286" s="1">
        <v>0</v>
      </c>
      <c r="BO286" s="2">
        <f t="shared" si="333"/>
        <v>0</v>
      </c>
      <c r="BP286" s="2">
        <f t="shared" si="341"/>
        <v>0</v>
      </c>
      <c r="BQ286" s="22"/>
    </row>
    <row r="287" spans="1:69" ht="20.100000000000001" customHeight="1" x14ac:dyDescent="0.2">
      <c r="A287" s="17">
        <f t="shared" si="340"/>
        <v>285</v>
      </c>
      <c r="B287" s="24">
        <v>97129</v>
      </c>
      <c r="C287" s="24">
        <v>4209712900</v>
      </c>
      <c r="D287" s="19" t="s">
        <v>393</v>
      </c>
      <c r="E287" s="24" t="s">
        <v>186</v>
      </c>
      <c r="F287" s="33">
        <v>73.14</v>
      </c>
      <c r="G287" s="24">
        <v>420</v>
      </c>
      <c r="H287" s="12">
        <v>0</v>
      </c>
      <c r="I287" s="24">
        <v>0</v>
      </c>
      <c r="J287" s="2">
        <f t="shared" si="301"/>
        <v>30.576519999999999</v>
      </c>
      <c r="K287" s="21" t="s">
        <v>91</v>
      </c>
      <c r="L287" s="1">
        <v>23.520399999999999</v>
      </c>
      <c r="M287" s="2">
        <v>25.372942000000002</v>
      </c>
      <c r="N287" s="2" t="str">
        <f>CONCATENATE(ROUND(16.25*1.8,2)," ",K287)</f>
        <v xml:space="preserve">29.25 Per Visit </v>
      </c>
      <c r="O287" s="2" t="str">
        <f>CONCATENATE(ROUND(L287,2)," ",K287)</f>
        <v xml:space="preserve">23.52 Per Visit </v>
      </c>
      <c r="P287" s="1" t="s">
        <v>188</v>
      </c>
      <c r="Q287" s="2" t="str">
        <f>CONCATENATE(ROUND(L287,2)," ",K287)</f>
        <v xml:space="preserve">23.52 Per Visit </v>
      </c>
      <c r="R287" s="2" t="str">
        <f>CONCATENATE(ROUND(L287*1.1,2)," ",K287)</f>
        <v xml:space="preserve">25.87 Per Visit </v>
      </c>
      <c r="S287" s="2" t="str">
        <f>CONCATENATE(ROUND(L287,2)," ",K287)</f>
        <v xml:space="preserve">23.52 Per Visit </v>
      </c>
      <c r="T287" s="1" t="s">
        <v>411</v>
      </c>
      <c r="U287" s="1"/>
      <c r="V287" s="1" t="s">
        <v>412</v>
      </c>
      <c r="W287" s="2" t="str">
        <f>CONCATENATE(ROUND(L287,2)," ",K287)</f>
        <v xml:space="preserve">23.52 Per Visit </v>
      </c>
      <c r="X287" s="2" t="str">
        <f>CONCATENATE(ROUND(L287,2)," ",K287)</f>
        <v xml:space="preserve">23.52 Per Visit </v>
      </c>
      <c r="Y287" s="2" t="str">
        <f>CONCATENATE(ROUND(L287,2)," ",K287)</f>
        <v xml:space="preserve">23.52 Per Visit </v>
      </c>
      <c r="Z287" s="1" t="s">
        <v>189</v>
      </c>
      <c r="AA287" s="2" t="str">
        <f>CONCATENATE(ROUND(L287*0.95,2)," ",K287)</f>
        <v xml:space="preserve">22.34 Per Visit </v>
      </c>
      <c r="AB287" s="2" t="str">
        <f>CONCATENATE(ROUND(L287*0.95,2)," ",K287)</f>
        <v xml:space="preserve">22.34 Per Visit </v>
      </c>
      <c r="AC287" s="2" t="str">
        <f>CONCATENATE(ROUND(L287,2)," ",K287)</f>
        <v xml:space="preserve">23.52 Per Visit </v>
      </c>
      <c r="AD287" s="2" t="str">
        <f>CONCATENATE(ROUND(L287*1.05,2)," ",K287)</f>
        <v xml:space="preserve">24.7 Per Visit </v>
      </c>
      <c r="AE287" s="2" t="str">
        <f>CONCATENATE(ROUND(L287,2)," ",K287)</f>
        <v xml:space="preserve">23.52 Per Visit </v>
      </c>
      <c r="AF287" s="2" t="str">
        <f>CONCATENATE(ROUND(L287,2)," ",K287)</f>
        <v xml:space="preserve">23.52 Per Visit </v>
      </c>
      <c r="AG287" s="2" t="str">
        <f>CONCATENATE(ROUND(L287*0.92,2)," ",K287)</f>
        <v xml:space="preserve">21.64 Per Visit </v>
      </c>
      <c r="AH287" s="2">
        <f>F287*0.7</f>
        <v>51.198</v>
      </c>
      <c r="AI287" s="1" t="s">
        <v>190</v>
      </c>
      <c r="AJ287" s="1" t="s">
        <v>190</v>
      </c>
      <c r="AK287" s="1" t="s">
        <v>191</v>
      </c>
      <c r="AL287" s="2" t="str">
        <f>CONCATENATE(ROUND(L287,2)," ",K287)</f>
        <v xml:space="preserve">23.52 Per Visit </v>
      </c>
      <c r="AM287" s="2" t="str">
        <f>CONCATENATE(ROUND(L287,2)," ",K287)</f>
        <v xml:space="preserve">23.52 Per Visit </v>
      </c>
      <c r="AN287" s="1" t="s">
        <v>192</v>
      </c>
      <c r="AO287" s="1" t="s">
        <v>192</v>
      </c>
      <c r="AP287" s="1" t="s">
        <v>193</v>
      </c>
      <c r="AQ287" s="1" t="s">
        <v>194</v>
      </c>
      <c r="AR287" s="1" t="s">
        <v>63</v>
      </c>
      <c r="AS287" s="1" t="s">
        <v>195</v>
      </c>
      <c r="AT287" s="1" t="s">
        <v>195</v>
      </c>
      <c r="AU287" s="1">
        <v>158.3634375</v>
      </c>
      <c r="AV287" s="2" t="str">
        <f>CONCATENATE(ROUND(M287*1.1,2)," ",K287)</f>
        <v xml:space="preserve">27.91 Per Visit </v>
      </c>
      <c r="AW287" s="2" t="str">
        <f>CONCATENATE(ROUND(L287,2)," ",K287)</f>
        <v xml:space="preserve">23.52 Per Visit </v>
      </c>
      <c r="AX287" s="2" t="str">
        <f>CONCATENATE(ROUND(L287*0.95,2)," ",K287)</f>
        <v xml:space="preserve">22.34 Per Visit </v>
      </c>
      <c r="AY287" s="2" t="str">
        <f>CONCATENATE(ROUND(L287*0.88,2)," ",K287)</f>
        <v xml:space="preserve">20.7 Per Visit </v>
      </c>
      <c r="AZ287" s="2" t="s">
        <v>196</v>
      </c>
      <c r="BA287" s="1" t="s">
        <v>197</v>
      </c>
      <c r="BB287" s="1" t="s">
        <v>198</v>
      </c>
      <c r="BC287" s="2">
        <v>0</v>
      </c>
      <c r="BD287" s="2">
        <v>0</v>
      </c>
      <c r="BE287" s="2">
        <v>0</v>
      </c>
      <c r="BF287" s="1" t="s">
        <v>199</v>
      </c>
      <c r="BG287" s="2" t="str">
        <f>CONCATENATE(ROUND(L287,2)," ",K287)</f>
        <v xml:space="preserve">23.52 Per Visit </v>
      </c>
      <c r="BH287" s="2" t="str">
        <f>CONCATENATE(ROUND(L287*0.95,2)," ",K287)</f>
        <v xml:space="preserve">22.34 Per Visit </v>
      </c>
      <c r="BI287" s="1" t="s">
        <v>63</v>
      </c>
      <c r="BJ287" s="1" t="s">
        <v>63</v>
      </c>
      <c r="BK287" s="2" t="str">
        <f>CONCATENATE(ROUND(L287*0.95,2)," ",K287)</f>
        <v xml:space="preserve">22.34 Per Visit </v>
      </c>
      <c r="BL287" s="2" t="str">
        <f>CONCATENATE(ROUND(L287,2)," ",K287)</f>
        <v xml:space="preserve">23.52 Per Visit </v>
      </c>
      <c r="BM287" s="1" t="s">
        <v>200</v>
      </c>
      <c r="BN287" s="1" t="s">
        <v>198</v>
      </c>
      <c r="BO287" s="2">
        <f>MIN(N287:BN287)</f>
        <v>0</v>
      </c>
      <c r="BP287" s="2" t="s">
        <v>201</v>
      </c>
      <c r="BQ287" s="22"/>
    </row>
    <row r="288" spans="1:69" ht="20.100000000000001" customHeight="1" x14ac:dyDescent="0.2">
      <c r="A288" s="17">
        <f t="shared" si="340"/>
        <v>286</v>
      </c>
      <c r="B288" s="24">
        <v>97130</v>
      </c>
      <c r="C288" s="24">
        <v>4209713000</v>
      </c>
      <c r="D288" s="19" t="s">
        <v>394</v>
      </c>
      <c r="E288" s="24" t="s">
        <v>186</v>
      </c>
      <c r="F288" s="33">
        <v>69.81</v>
      </c>
      <c r="G288" s="24">
        <v>420</v>
      </c>
      <c r="H288" s="12">
        <v>0</v>
      </c>
      <c r="I288" s="24">
        <v>0</v>
      </c>
      <c r="J288" s="2">
        <f t="shared" si="301"/>
        <v>29.163264000000002</v>
      </c>
      <c r="K288" s="21" t="s">
        <v>91</v>
      </c>
      <c r="L288" s="2">
        <v>22.43328</v>
      </c>
      <c r="M288" s="2">
        <v>24.221447000000005</v>
      </c>
      <c r="N288" s="2" t="str">
        <f>CONCATENATE(ROUND(15.76*1.8,2)," ",K288)</f>
        <v xml:space="preserve">28.37 Per Visit </v>
      </c>
      <c r="O288" s="2" t="str">
        <f>CONCATENATE(ROUND(L288,2)," ",K288)</f>
        <v xml:space="preserve">22.43 Per Visit </v>
      </c>
      <c r="P288" s="1" t="s">
        <v>188</v>
      </c>
      <c r="Q288" s="2" t="str">
        <f>CONCATENATE(ROUND(L288,2)," ",K288)</f>
        <v xml:space="preserve">22.43 Per Visit </v>
      </c>
      <c r="R288" s="2" t="str">
        <f>CONCATENATE(ROUND(L288*1.1,2)," ",K288)</f>
        <v xml:space="preserve">24.68 Per Visit </v>
      </c>
      <c r="S288" s="2" t="str">
        <f>CONCATENATE(ROUND(L288,2)," ",K288)</f>
        <v xml:space="preserve">22.43 Per Visit </v>
      </c>
      <c r="T288" s="1" t="s">
        <v>411</v>
      </c>
      <c r="U288" s="1"/>
      <c r="V288" s="1" t="s">
        <v>412</v>
      </c>
      <c r="W288" s="2" t="str">
        <f>CONCATENATE(ROUND(L288,2)," ",K288)</f>
        <v xml:space="preserve">22.43 Per Visit </v>
      </c>
      <c r="X288" s="2" t="str">
        <f>CONCATENATE(ROUND(L288,2)," ",K288)</f>
        <v xml:space="preserve">22.43 Per Visit </v>
      </c>
      <c r="Y288" s="2" t="str">
        <f>CONCATENATE(ROUND(L288,2)," ",K288)</f>
        <v xml:space="preserve">22.43 Per Visit </v>
      </c>
      <c r="Z288" s="1" t="s">
        <v>189</v>
      </c>
      <c r="AA288" s="2" t="str">
        <f>CONCATENATE(ROUND(L288*0.95,2)," ",K288)</f>
        <v xml:space="preserve">21.31 Per Visit </v>
      </c>
      <c r="AB288" s="2" t="str">
        <f>CONCATENATE(ROUND(L288*0.95,2)," ",K288)</f>
        <v xml:space="preserve">21.31 Per Visit </v>
      </c>
      <c r="AC288" s="2" t="str">
        <f>CONCATENATE(ROUND(L288,2)," ",K288)</f>
        <v xml:space="preserve">22.43 Per Visit </v>
      </c>
      <c r="AD288" s="2" t="str">
        <f>CONCATENATE(ROUND(L288*1.05,2)," ",K288)</f>
        <v xml:space="preserve">23.55 Per Visit </v>
      </c>
      <c r="AE288" s="2" t="str">
        <f>CONCATENATE(ROUND(L288,2)," ",K288)</f>
        <v xml:space="preserve">22.43 Per Visit </v>
      </c>
      <c r="AF288" s="2" t="str">
        <f>CONCATENATE(ROUND(L288,2)," ",K288)</f>
        <v xml:space="preserve">22.43 Per Visit </v>
      </c>
      <c r="AG288" s="2" t="str">
        <f>CONCATENATE(ROUND(L288*0.92,2)," ",K288)</f>
        <v xml:space="preserve">20.64 Per Visit </v>
      </c>
      <c r="AH288" s="2">
        <f>F288*0.7</f>
        <v>48.866999999999997</v>
      </c>
      <c r="AI288" s="1" t="s">
        <v>190</v>
      </c>
      <c r="AJ288" s="1" t="s">
        <v>190</v>
      </c>
      <c r="AK288" s="1" t="s">
        <v>191</v>
      </c>
      <c r="AL288" s="2" t="str">
        <f>CONCATENATE(ROUND(L288,2)," ",K288)</f>
        <v xml:space="preserve">22.43 Per Visit </v>
      </c>
      <c r="AM288" s="2" t="str">
        <f>CONCATENATE(ROUND(L288,2)," ",K288)</f>
        <v xml:space="preserve">22.43 Per Visit </v>
      </c>
      <c r="AN288" s="1" t="s">
        <v>192</v>
      </c>
      <c r="AO288" s="1" t="s">
        <v>192</v>
      </c>
      <c r="AP288" s="1" t="s">
        <v>193</v>
      </c>
      <c r="AQ288" s="1" t="s">
        <v>194</v>
      </c>
      <c r="AR288" s="1" t="s">
        <v>63</v>
      </c>
      <c r="AS288" s="1" t="s">
        <v>195</v>
      </c>
      <c r="AT288" s="1" t="s">
        <v>195</v>
      </c>
      <c r="AU288" s="1">
        <v>158.3634375</v>
      </c>
      <c r="AV288" s="2" t="str">
        <f>CONCATENATE(ROUND(M288*1.1,2)," ",K288)</f>
        <v xml:space="preserve">26.64 Per Visit </v>
      </c>
      <c r="AW288" s="2" t="str">
        <f>CONCATENATE(ROUND(L288,2)," ",K288)</f>
        <v xml:space="preserve">22.43 Per Visit </v>
      </c>
      <c r="AX288" s="2" t="str">
        <f>CONCATENATE(ROUND(L288*0.95,2)," ",K288)</f>
        <v xml:space="preserve">21.31 Per Visit </v>
      </c>
      <c r="AY288" s="2" t="str">
        <f>CONCATENATE(ROUND(L288*0.88,2)," ",K288)</f>
        <v xml:space="preserve">19.74 Per Visit </v>
      </c>
      <c r="AZ288" s="2" t="s">
        <v>196</v>
      </c>
      <c r="BA288" s="1" t="s">
        <v>197</v>
      </c>
      <c r="BB288" s="1" t="s">
        <v>198</v>
      </c>
      <c r="BC288" s="2">
        <v>0</v>
      </c>
      <c r="BD288" s="2">
        <v>0</v>
      </c>
      <c r="BE288" s="2">
        <v>0</v>
      </c>
      <c r="BF288" s="1" t="s">
        <v>199</v>
      </c>
      <c r="BG288" s="2" t="str">
        <f>CONCATENATE(ROUND(L288,2)," ",K288)</f>
        <v xml:space="preserve">22.43 Per Visit </v>
      </c>
      <c r="BH288" s="2" t="str">
        <f>CONCATENATE(ROUND(L288*0.95,2)," ",K288)</f>
        <v xml:space="preserve">21.31 Per Visit </v>
      </c>
      <c r="BI288" s="1" t="s">
        <v>63</v>
      </c>
      <c r="BJ288" s="1" t="s">
        <v>63</v>
      </c>
      <c r="BK288" s="2" t="str">
        <f>CONCATENATE(ROUND(L288*0.95,2)," ",K288)</f>
        <v xml:space="preserve">21.31 Per Visit </v>
      </c>
      <c r="BL288" s="2" t="str">
        <f>CONCATENATE(ROUND(L288,2)," ",K288)</f>
        <v xml:space="preserve">22.43 Per Visit </v>
      </c>
      <c r="BM288" s="1" t="s">
        <v>200</v>
      </c>
      <c r="BN288" s="1" t="s">
        <v>198</v>
      </c>
      <c r="BO288" s="2">
        <f>MIN(N288:BN288)</f>
        <v>0</v>
      </c>
      <c r="BP288" s="2" t="s">
        <v>201</v>
      </c>
      <c r="BQ288" s="22"/>
    </row>
    <row r="289" spans="1:69" ht="20.100000000000001" customHeight="1" x14ac:dyDescent="0.2">
      <c r="A289" s="17">
        <f t="shared" si="340"/>
        <v>287</v>
      </c>
      <c r="B289" s="24">
        <v>97605</v>
      </c>
      <c r="C289" s="24">
        <v>5109760500</v>
      </c>
      <c r="D289" s="19" t="s">
        <v>395</v>
      </c>
      <c r="E289" s="18" t="s">
        <v>373</v>
      </c>
      <c r="F289" s="33">
        <v>541.74</v>
      </c>
      <c r="G289" s="24">
        <v>510</v>
      </c>
      <c r="H289" s="12">
        <v>0</v>
      </c>
      <c r="I289" s="24">
        <v>0</v>
      </c>
      <c r="J289" s="2">
        <f t="shared" si="301"/>
        <v>63.543687999999996</v>
      </c>
      <c r="K289" s="21" t="s">
        <v>91</v>
      </c>
      <c r="L289" s="2">
        <v>48.879759999999997</v>
      </c>
      <c r="M289" s="1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1">
        <v>0</v>
      </c>
      <c r="BL289" s="1">
        <v>0</v>
      </c>
      <c r="BM289" s="1">
        <v>0</v>
      </c>
      <c r="BN289" s="1">
        <v>0</v>
      </c>
      <c r="BO289" s="2">
        <f t="shared" si="333"/>
        <v>0</v>
      </c>
      <c r="BP289" s="2">
        <f t="shared" si="341"/>
        <v>0</v>
      </c>
      <c r="BQ289" s="22"/>
    </row>
    <row r="290" spans="1:69" ht="20.100000000000001" customHeight="1" x14ac:dyDescent="0.2">
      <c r="A290" s="17">
        <f t="shared" si="340"/>
        <v>288</v>
      </c>
      <c r="B290" s="24">
        <v>70450</v>
      </c>
      <c r="C290" s="24">
        <v>3517045000</v>
      </c>
      <c r="D290" s="19" t="s">
        <v>396</v>
      </c>
      <c r="E290" s="18" t="s">
        <v>397</v>
      </c>
      <c r="F290" s="9">
        <v>532.78</v>
      </c>
      <c r="G290" s="24">
        <v>351</v>
      </c>
      <c r="H290" s="12">
        <v>0</v>
      </c>
      <c r="I290" s="24">
        <v>0</v>
      </c>
      <c r="J290" s="2">
        <v>0</v>
      </c>
      <c r="K290" s="21" t="s">
        <v>104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f>MIN(N290:BN290:BN290)</f>
        <v>0</v>
      </c>
      <c r="BP290" s="2">
        <f t="shared" si="341"/>
        <v>0</v>
      </c>
      <c r="BQ290" s="22"/>
    </row>
    <row r="291" spans="1:69" ht="20.100000000000001" customHeight="1" x14ac:dyDescent="0.2">
      <c r="A291" s="17">
        <f t="shared" si="340"/>
        <v>289</v>
      </c>
      <c r="B291" s="24">
        <v>70553</v>
      </c>
      <c r="C291" s="24">
        <v>6117055301</v>
      </c>
      <c r="D291" s="19" t="s">
        <v>398</v>
      </c>
      <c r="E291" s="18" t="s">
        <v>397</v>
      </c>
      <c r="F291" s="9">
        <v>1105.29</v>
      </c>
      <c r="G291" s="24">
        <v>611</v>
      </c>
      <c r="H291" s="12">
        <v>0</v>
      </c>
      <c r="I291" s="24">
        <v>0</v>
      </c>
      <c r="J291" s="2">
        <v>0</v>
      </c>
      <c r="K291" s="21" t="s">
        <v>104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f>MIN(N291:BN291:BN291)</f>
        <v>0</v>
      </c>
      <c r="BP291" s="2">
        <f t="shared" si="341"/>
        <v>0</v>
      </c>
      <c r="BQ291" s="22"/>
    </row>
    <row r="292" spans="1:69" ht="20.100000000000001" customHeight="1" x14ac:dyDescent="0.2">
      <c r="A292" s="17">
        <f t="shared" si="340"/>
        <v>290</v>
      </c>
      <c r="B292" s="24">
        <v>72110</v>
      </c>
      <c r="C292" s="24">
        <v>3207211000</v>
      </c>
      <c r="D292" s="19" t="s">
        <v>399</v>
      </c>
      <c r="E292" s="18" t="s">
        <v>397</v>
      </c>
      <c r="F292" s="9">
        <v>97.14</v>
      </c>
      <c r="G292" s="24">
        <v>320</v>
      </c>
      <c r="H292" s="12">
        <v>0</v>
      </c>
      <c r="I292" s="24">
        <v>0</v>
      </c>
      <c r="J292" s="2">
        <v>0</v>
      </c>
      <c r="K292" s="21" t="s">
        <v>104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f>MIN(N292:BN292:BN292)</f>
        <v>0</v>
      </c>
      <c r="BP292" s="2">
        <f t="shared" si="341"/>
        <v>0</v>
      </c>
      <c r="BQ292" s="22"/>
    </row>
    <row r="293" spans="1:69" ht="20.100000000000001" customHeight="1" x14ac:dyDescent="0.2">
      <c r="A293" s="17">
        <f t="shared" si="340"/>
        <v>291</v>
      </c>
      <c r="B293" s="24">
        <v>72148</v>
      </c>
      <c r="C293" s="24">
        <v>6127214800</v>
      </c>
      <c r="D293" s="19" t="s">
        <v>400</v>
      </c>
      <c r="E293" s="18" t="s">
        <v>397</v>
      </c>
      <c r="F293" s="9">
        <v>1402.88</v>
      </c>
      <c r="G293" s="24">
        <v>612</v>
      </c>
      <c r="H293" s="12">
        <v>0</v>
      </c>
      <c r="I293" s="24">
        <v>0</v>
      </c>
      <c r="J293" s="2">
        <v>0</v>
      </c>
      <c r="K293" s="21" t="s">
        <v>104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f>MIN(N293:BN293:BN293)</f>
        <v>0</v>
      </c>
      <c r="BP293" s="2">
        <f t="shared" si="341"/>
        <v>0</v>
      </c>
      <c r="BQ293" s="22"/>
    </row>
    <row r="294" spans="1:69" ht="20.100000000000001" customHeight="1" x14ac:dyDescent="0.2">
      <c r="A294" s="17">
        <f t="shared" si="340"/>
        <v>292</v>
      </c>
      <c r="B294" s="24">
        <v>72193</v>
      </c>
      <c r="C294" s="24">
        <v>3527219300</v>
      </c>
      <c r="D294" s="19" t="s">
        <v>401</v>
      </c>
      <c r="E294" s="18" t="s">
        <v>397</v>
      </c>
      <c r="F294" s="9">
        <v>771.93</v>
      </c>
      <c r="G294" s="24">
        <v>352</v>
      </c>
      <c r="H294" s="12">
        <v>0</v>
      </c>
      <c r="I294" s="24">
        <v>0</v>
      </c>
      <c r="J294" s="2">
        <v>0</v>
      </c>
      <c r="K294" s="21" t="s">
        <v>104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f>MIN(N294:BN294:BN294)</f>
        <v>0</v>
      </c>
      <c r="BP294" s="2">
        <f t="shared" si="341"/>
        <v>0</v>
      </c>
      <c r="BQ294" s="22"/>
    </row>
    <row r="295" spans="1:69" ht="20.100000000000001" customHeight="1" x14ac:dyDescent="0.2">
      <c r="A295" s="17">
        <f t="shared" si="340"/>
        <v>293</v>
      </c>
      <c r="B295" s="24">
        <v>73721</v>
      </c>
      <c r="C295" s="24" t="s">
        <v>402</v>
      </c>
      <c r="D295" s="19" t="s">
        <v>403</v>
      </c>
      <c r="E295" s="18" t="s">
        <v>397</v>
      </c>
      <c r="F295" s="9">
        <v>700.56</v>
      </c>
      <c r="G295" s="24">
        <v>616</v>
      </c>
      <c r="H295" s="12">
        <v>0</v>
      </c>
      <c r="I295" s="24">
        <v>0</v>
      </c>
      <c r="J295" s="2">
        <v>0</v>
      </c>
      <c r="K295" s="21" t="s">
        <v>104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f>MIN(N295:BN295:BN295)</f>
        <v>0</v>
      </c>
      <c r="BP295" s="2">
        <f t="shared" si="341"/>
        <v>0</v>
      </c>
      <c r="BQ295" s="22"/>
    </row>
    <row r="296" spans="1:69" ht="20.100000000000001" customHeight="1" x14ac:dyDescent="0.2">
      <c r="A296" s="17">
        <f t="shared" si="340"/>
        <v>294</v>
      </c>
      <c r="B296" s="24">
        <v>74177</v>
      </c>
      <c r="C296" s="24">
        <v>3527417700</v>
      </c>
      <c r="D296" s="19" t="s">
        <v>404</v>
      </c>
      <c r="E296" s="18" t="s">
        <v>397</v>
      </c>
      <c r="F296" s="9">
        <v>1110.24</v>
      </c>
      <c r="G296" s="24">
        <v>352</v>
      </c>
      <c r="H296" s="12">
        <v>0</v>
      </c>
      <c r="I296" s="24">
        <v>0</v>
      </c>
      <c r="J296" s="2">
        <v>0</v>
      </c>
      <c r="K296" s="21" t="s">
        <v>104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f>MIN(N296:BN296:BN296)</f>
        <v>0</v>
      </c>
      <c r="BP296" s="2">
        <f t="shared" si="341"/>
        <v>0</v>
      </c>
      <c r="BQ296" s="22"/>
    </row>
    <row r="297" spans="1:69" ht="20.100000000000001" customHeight="1" x14ac:dyDescent="0.2">
      <c r="A297" s="17">
        <f t="shared" si="340"/>
        <v>295</v>
      </c>
      <c r="B297" s="24">
        <v>76700</v>
      </c>
      <c r="C297" s="24">
        <v>4027670000</v>
      </c>
      <c r="D297" s="19" t="s">
        <v>405</v>
      </c>
      <c r="E297" s="18" t="s">
        <v>397</v>
      </c>
      <c r="F297" s="9">
        <v>222.78</v>
      </c>
      <c r="G297" s="24">
        <v>402</v>
      </c>
      <c r="H297" s="12">
        <v>0</v>
      </c>
      <c r="I297" s="24">
        <v>0</v>
      </c>
      <c r="J297" s="2">
        <v>0</v>
      </c>
      <c r="K297" s="21" t="s">
        <v>104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f>MIN(N297:BN297:BN297)</f>
        <v>0</v>
      </c>
      <c r="BP297" s="2">
        <f t="shared" si="341"/>
        <v>0</v>
      </c>
      <c r="BQ297" s="22"/>
    </row>
    <row r="298" spans="1:69" ht="20.100000000000001" customHeight="1" x14ac:dyDescent="0.2">
      <c r="A298" s="17">
        <f t="shared" si="340"/>
        <v>296</v>
      </c>
      <c r="B298" s="24">
        <v>76805</v>
      </c>
      <c r="C298" s="18" t="s">
        <v>88</v>
      </c>
      <c r="D298" s="19" t="s">
        <v>406</v>
      </c>
      <c r="E298" s="18" t="s">
        <v>397</v>
      </c>
      <c r="F298" s="9">
        <v>0</v>
      </c>
      <c r="G298" s="25" t="s">
        <v>88</v>
      </c>
      <c r="H298" s="12">
        <v>0</v>
      </c>
      <c r="I298" s="24">
        <v>0</v>
      </c>
      <c r="J298" s="2">
        <v>0</v>
      </c>
      <c r="K298" s="21" t="s">
        <v>104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f>MIN(N298:BN298:BN298)</f>
        <v>0</v>
      </c>
      <c r="BP298" s="2">
        <f t="shared" si="341"/>
        <v>0</v>
      </c>
      <c r="BQ298" s="22"/>
    </row>
    <row r="299" spans="1:69" ht="20.100000000000001" customHeight="1" x14ac:dyDescent="0.2">
      <c r="A299" s="17">
        <f t="shared" si="340"/>
        <v>297</v>
      </c>
      <c r="B299" s="24">
        <v>76830</v>
      </c>
      <c r="C299" s="24">
        <v>4027683000</v>
      </c>
      <c r="D299" s="19" t="s">
        <v>407</v>
      </c>
      <c r="E299" s="18" t="s">
        <v>397</v>
      </c>
      <c r="F299" s="9">
        <v>108.4</v>
      </c>
      <c r="G299" s="24">
        <v>402</v>
      </c>
      <c r="H299" s="12">
        <v>0</v>
      </c>
      <c r="I299" s="24">
        <v>0</v>
      </c>
      <c r="J299" s="2">
        <v>0</v>
      </c>
      <c r="K299" s="21" t="s">
        <v>104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f>MIN(N299:BN299:BN299)</f>
        <v>0</v>
      </c>
      <c r="BP299" s="2">
        <f t="shared" si="341"/>
        <v>0</v>
      </c>
      <c r="BQ299" s="22"/>
    </row>
    <row r="300" spans="1:69" ht="20.100000000000001" customHeight="1" x14ac:dyDescent="0.2">
      <c r="A300" s="17">
        <f t="shared" si="340"/>
        <v>298</v>
      </c>
      <c r="B300" s="24">
        <v>77065</v>
      </c>
      <c r="C300" s="18" t="s">
        <v>88</v>
      </c>
      <c r="D300" s="19" t="s">
        <v>408</v>
      </c>
      <c r="E300" s="18" t="s">
        <v>397</v>
      </c>
      <c r="F300" s="9">
        <v>0</v>
      </c>
      <c r="G300" s="25" t="s">
        <v>88</v>
      </c>
      <c r="H300" s="12">
        <v>0</v>
      </c>
      <c r="I300" s="24">
        <v>0</v>
      </c>
      <c r="J300" s="2">
        <v>0</v>
      </c>
      <c r="K300" s="21" t="s">
        <v>104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f>MIN(N300:BN300:BN300)</f>
        <v>0</v>
      </c>
      <c r="BP300" s="2">
        <f t="shared" si="341"/>
        <v>0</v>
      </c>
      <c r="BQ300" s="22"/>
    </row>
    <row r="301" spans="1:69" ht="20.100000000000001" customHeight="1" x14ac:dyDescent="0.2">
      <c r="A301" s="17">
        <f t="shared" si="340"/>
        <v>299</v>
      </c>
      <c r="B301" s="24">
        <v>77066</v>
      </c>
      <c r="C301" s="18" t="s">
        <v>88</v>
      </c>
      <c r="D301" s="19" t="s">
        <v>409</v>
      </c>
      <c r="E301" s="18" t="s">
        <v>397</v>
      </c>
      <c r="F301" s="9">
        <v>0</v>
      </c>
      <c r="G301" s="25" t="s">
        <v>88</v>
      </c>
      <c r="H301" s="12">
        <v>0</v>
      </c>
      <c r="I301" s="24">
        <v>0</v>
      </c>
      <c r="J301" s="2">
        <v>0</v>
      </c>
      <c r="K301" s="21" t="s">
        <v>104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f>MIN(N301:BN301:BN301)</f>
        <v>0</v>
      </c>
      <c r="BP301" s="2">
        <f t="shared" si="341"/>
        <v>0</v>
      </c>
      <c r="BQ301" s="22"/>
    </row>
    <row r="302" spans="1:69" ht="20.100000000000001" customHeight="1" x14ac:dyDescent="0.2">
      <c r="A302" s="17">
        <f t="shared" si="340"/>
        <v>300</v>
      </c>
      <c r="B302" s="24">
        <v>77067</v>
      </c>
      <c r="C302" s="18" t="s">
        <v>88</v>
      </c>
      <c r="D302" s="19" t="s">
        <v>410</v>
      </c>
      <c r="E302" s="18" t="s">
        <v>397</v>
      </c>
      <c r="F302" s="9">
        <v>0</v>
      </c>
      <c r="G302" s="25" t="s">
        <v>88</v>
      </c>
      <c r="H302" s="12">
        <v>0</v>
      </c>
      <c r="I302" s="24">
        <v>0</v>
      </c>
      <c r="J302" s="2">
        <v>0</v>
      </c>
      <c r="K302" s="21" t="s">
        <v>104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f>MIN(N302:BN302:BN302)</f>
        <v>0</v>
      </c>
      <c r="BP302" s="2">
        <f t="shared" si="341"/>
        <v>0</v>
      </c>
      <c r="BQ302" s="22"/>
    </row>
    <row r="303" spans="1:69" x14ac:dyDescent="0.2">
      <c r="F303" s="8"/>
      <c r="N303" s="2"/>
      <c r="V303" s="2"/>
      <c r="X303" s="2"/>
      <c r="Z303" s="1"/>
      <c r="AB303" s="1"/>
      <c r="AK303" s="2"/>
      <c r="AS303" s="2"/>
      <c r="AU303" s="1"/>
      <c r="AZ303" s="1"/>
      <c r="BM303" s="1"/>
    </row>
    <row r="304" spans="1:69" x14ac:dyDescent="0.2">
      <c r="F304" s="8"/>
      <c r="N304" s="2"/>
      <c r="V304" s="2"/>
      <c r="X304" s="2"/>
      <c r="Z304" s="1"/>
      <c r="AB304" s="1"/>
      <c r="AK304" s="2"/>
      <c r="AS304" s="2"/>
      <c r="AU304" s="1"/>
      <c r="AZ304" s="1"/>
      <c r="BM304" s="1"/>
    </row>
    <row r="305" spans="6:65" x14ac:dyDescent="0.2">
      <c r="F305" s="8"/>
      <c r="N305" s="2"/>
      <c r="V305" s="2"/>
      <c r="X305" s="2"/>
      <c r="Z305" s="1"/>
      <c r="AB305" s="1"/>
      <c r="AK305" s="2"/>
      <c r="AS305" s="2"/>
      <c r="AU305" s="1"/>
      <c r="AZ305" s="1"/>
      <c r="BM305" s="1"/>
    </row>
    <row r="306" spans="6:65" x14ac:dyDescent="0.2">
      <c r="N306" s="2"/>
      <c r="V306" s="2"/>
      <c r="X306" s="2"/>
      <c r="Z306" s="1"/>
      <c r="AB306" s="1"/>
      <c r="AK306" s="2"/>
      <c r="AS306" s="2"/>
      <c r="AU306" s="1"/>
      <c r="AZ306" s="1"/>
      <c r="BM306" s="1"/>
    </row>
    <row r="307" spans="6:65" x14ac:dyDescent="0.2">
      <c r="N307" s="2"/>
      <c r="V307" s="2"/>
      <c r="X307" s="2"/>
      <c r="Z307" s="1"/>
      <c r="AB307" s="1"/>
      <c r="AK307" s="2"/>
      <c r="AS307" s="2"/>
      <c r="AU307" s="1"/>
      <c r="AZ307" s="1"/>
      <c r="BM307" s="1"/>
    </row>
    <row r="308" spans="6:65" x14ac:dyDescent="0.2">
      <c r="N308" s="2"/>
      <c r="V308" s="2"/>
      <c r="X308" s="2"/>
      <c r="Z308" s="1"/>
      <c r="AB308" s="1"/>
      <c r="AK308" s="2"/>
      <c r="AS308" s="2"/>
      <c r="AU308" s="1"/>
      <c r="AZ308" s="1"/>
      <c r="BM308" s="1"/>
    </row>
    <row r="309" spans="6:65" x14ac:dyDescent="0.2">
      <c r="N309" s="2"/>
      <c r="V309" s="2"/>
      <c r="X309" s="2"/>
      <c r="Z309" s="1"/>
      <c r="AB309" s="1"/>
      <c r="AK309" s="2"/>
      <c r="AS309" s="2"/>
      <c r="AU309" s="1"/>
      <c r="AZ309" s="1"/>
      <c r="BM309" s="1"/>
    </row>
    <row r="310" spans="6:65" x14ac:dyDescent="0.2">
      <c r="N310" s="2"/>
      <c r="V310" s="2"/>
      <c r="X310" s="2"/>
      <c r="Z310" s="1"/>
      <c r="AB310" s="1"/>
      <c r="AK310" s="2"/>
      <c r="AS310" s="2"/>
      <c r="AU310" s="1"/>
      <c r="AZ310" s="1"/>
      <c r="BM310" s="1"/>
    </row>
    <row r="311" spans="6:65" x14ac:dyDescent="0.2">
      <c r="N311" s="2"/>
      <c r="V311" s="2"/>
      <c r="X311" s="2"/>
      <c r="Z311" s="1"/>
      <c r="AB311" s="1"/>
      <c r="AK311" s="2"/>
      <c r="AS311" s="2"/>
      <c r="AU311" s="1"/>
      <c r="AZ311" s="1"/>
      <c r="BM311" s="1"/>
    </row>
    <row r="312" spans="6:65" x14ac:dyDescent="0.2">
      <c r="N312" s="2"/>
      <c r="V312" s="2"/>
      <c r="X312" s="2"/>
      <c r="Z312" s="1"/>
      <c r="AB312" s="1"/>
      <c r="AK312" s="2"/>
      <c r="AS312" s="2"/>
      <c r="AU312" s="1"/>
      <c r="AZ312" s="1"/>
      <c r="BM312" s="1"/>
    </row>
    <row r="313" spans="6:65" x14ac:dyDescent="0.2">
      <c r="N313" s="2"/>
      <c r="Q313" s="1"/>
      <c r="V313" s="2"/>
      <c r="X313" s="2"/>
      <c r="Z313" s="1"/>
      <c r="AB313" s="1"/>
      <c r="AK313" s="2"/>
      <c r="AS313" s="2"/>
      <c r="AU313" s="1"/>
      <c r="AZ313" s="1"/>
      <c r="BM313" s="1"/>
    </row>
    <row r="314" spans="6:65" x14ac:dyDescent="0.2">
      <c r="N314" s="2"/>
      <c r="V314" s="2"/>
      <c r="X314" s="2"/>
      <c r="Z314" s="1"/>
      <c r="AB314" s="1"/>
      <c r="AK314" s="2"/>
      <c r="AS314" s="2"/>
      <c r="AU314" s="1"/>
      <c r="AZ314" s="1"/>
      <c r="BM314" s="1"/>
    </row>
    <row r="315" spans="6:65" x14ac:dyDescent="0.2">
      <c r="N315" s="2"/>
      <c r="V315" s="2"/>
      <c r="X315" s="2"/>
      <c r="Z315" s="1"/>
      <c r="AB315" s="1"/>
      <c r="AK315" s="2"/>
      <c r="AS315" s="2"/>
      <c r="AU315" s="1"/>
      <c r="AZ315" s="1"/>
      <c r="BM315" s="1"/>
    </row>
    <row r="316" spans="6:65" x14ac:dyDescent="0.2">
      <c r="N316" s="2"/>
      <c r="V316" s="2"/>
      <c r="X316" s="2"/>
      <c r="Z316" s="1"/>
      <c r="AB316" s="1"/>
      <c r="AK316" s="2"/>
      <c r="AS316" s="2"/>
      <c r="AU316" s="1"/>
      <c r="AZ316" s="1"/>
      <c r="BM316" s="1"/>
    </row>
    <row r="317" spans="6:65" x14ac:dyDescent="0.2">
      <c r="N317" s="2"/>
      <c r="V317" s="2"/>
      <c r="X317" s="2"/>
      <c r="Z317" s="1"/>
      <c r="AB317" s="1"/>
      <c r="AK317" s="2"/>
      <c r="AS317" s="2"/>
      <c r="AU317" s="1"/>
      <c r="AZ317" s="1"/>
      <c r="BM317" s="1"/>
    </row>
  </sheetData>
  <autoFilter ref="A2:BQ30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Kyle Degraaf</cp:lastModifiedBy>
  <cp:revision/>
  <dcterms:created xsi:type="dcterms:W3CDTF">2020-10-20T22:29:47Z</dcterms:created>
  <dcterms:modified xsi:type="dcterms:W3CDTF">2025-11-18T00:11:19Z</dcterms:modified>
  <cp:category/>
  <cp:contentStatus/>
</cp:coreProperties>
</file>